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fik EL AOUGRI\Desktop\Chafik\UCANSS\CLASSIF\"/>
    </mc:Choice>
  </mc:AlternateContent>
  <xr:revisionPtr revIDLastSave="0" documentId="13_ncr:1_{ABBE8358-02C5-4C79-A49D-85F4445531D6}" xr6:coauthVersionLast="43" xr6:coauthVersionMax="43" xr10:uidLastSave="{00000000-0000-0000-0000-000000000000}"/>
  <workbookProtection workbookPassword="9DBE" lockWindows="1"/>
  <bookViews>
    <workbookView xWindow="28680" yWindow="-120" windowWidth="29040" windowHeight="15840" xr2:uid="{00000000-000D-0000-FFFF-FFFF00000000}"/>
  </bookViews>
  <sheets>
    <sheet name="Feuil1" sheetId="1" r:id="rId1"/>
    <sheet name="Feuil2" sheetId="2" state="hidden" r:id="rId2"/>
    <sheet name="Feuil3" sheetId="4" state="hidden" r:id="rId3"/>
    <sheet name="Feuil4" sheetId="5" state="hidden" r:id="rId4"/>
    <sheet name="Feuil5" sheetId="6" state="hidden" r:id="rId5"/>
  </sheets>
  <definedNames>
    <definedName name="_xlnm._FilterDatabase" localSheetId="0" hidden="1">Feuil1!$F$6:$I$6</definedName>
    <definedName name="_xlnm._FilterDatabase" localSheetId="3" hidden="1">Feuil4!$B$1:$C$58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J6" i="1" s="1"/>
  <c r="H16" i="5"/>
  <c r="I15" i="2" l="1"/>
  <c r="I45" i="2"/>
  <c r="I25" i="2"/>
  <c r="I35" i="2"/>
  <c r="G23" i="1"/>
  <c r="M30" i="1"/>
  <c r="M22" i="1"/>
  <c r="A30" i="1"/>
  <c r="A22" i="1"/>
  <c r="A31" i="1"/>
  <c r="M31" i="1"/>
  <c r="M23" i="1"/>
  <c r="A23" i="1"/>
  <c r="S31" i="1"/>
  <c r="S23" i="1"/>
  <c r="G31" i="1"/>
  <c r="J12" i="4" l="1"/>
  <c r="J12" i="2"/>
  <c r="J13" i="4"/>
  <c r="J13" i="2"/>
  <c r="J14" i="4"/>
  <c r="J14" i="2"/>
  <c r="J15" i="2" s="1"/>
  <c r="K15" i="2" s="1"/>
  <c r="J11" i="4"/>
  <c r="J11" i="2"/>
  <c r="O13" i="2"/>
  <c r="O14" i="2"/>
  <c r="O12" i="2"/>
  <c r="O15" i="2"/>
  <c r="O12" i="4"/>
  <c r="O11" i="4"/>
  <c r="O14" i="4"/>
  <c r="O15" i="4"/>
  <c r="O13" i="4"/>
  <c r="D43" i="4"/>
  <c r="D44" i="4"/>
  <c r="D42" i="4"/>
  <c r="D33" i="4"/>
  <c r="D34" i="4"/>
  <c r="D32" i="4"/>
  <c r="D23" i="4"/>
  <c r="D24" i="4"/>
  <c r="D22" i="4"/>
  <c r="D13" i="4"/>
  <c r="D14" i="4"/>
  <c r="D12" i="4"/>
  <c r="E11" i="2"/>
  <c r="D43" i="2"/>
  <c r="D44" i="2"/>
  <c r="D42" i="2"/>
  <c r="D33" i="2"/>
  <c r="D34" i="2"/>
  <c r="D32" i="2"/>
  <c r="D23" i="2"/>
  <c r="D24" i="2"/>
  <c r="D13" i="2"/>
  <c r="D14" i="2"/>
  <c r="E11" i="4"/>
  <c r="J15" i="4"/>
  <c r="D45" i="4"/>
  <c r="D35" i="4"/>
  <c r="D25" i="4"/>
  <c r="D15" i="4"/>
  <c r="D45" i="2"/>
  <c r="D35" i="2"/>
  <c r="D25" i="2"/>
  <c r="D22" i="2"/>
  <c r="D15" i="2"/>
  <c r="D12" i="2"/>
  <c r="A19" i="1"/>
  <c r="E12" i="4" l="1"/>
  <c r="E13" i="4" s="1"/>
  <c r="E14" i="4" s="1"/>
  <c r="E15" i="4" s="1"/>
  <c r="E21" i="4" s="1"/>
  <c r="E22" i="4" s="1"/>
  <c r="E23" i="4" s="1"/>
  <c r="E24" i="4" s="1"/>
  <c r="E25" i="4" s="1"/>
  <c r="E31" i="4" s="1"/>
  <c r="E32" i="4" s="1"/>
  <c r="E33" i="4" s="1"/>
  <c r="E34" i="4" s="1"/>
  <c r="E35" i="4" s="1"/>
  <c r="E41" i="4" s="1"/>
  <c r="E42" i="4" s="1"/>
  <c r="E43" i="4" s="1"/>
  <c r="E44" i="4" s="1"/>
  <c r="E45" i="4" s="1"/>
  <c r="J21" i="2"/>
  <c r="J22" i="2" s="1"/>
  <c r="J23" i="2" s="1"/>
  <c r="J24" i="2" s="1"/>
  <c r="J25" i="2" s="1"/>
  <c r="J31" i="2" s="1"/>
  <c r="J32" i="2" s="1"/>
  <c r="J33" i="2" s="1"/>
  <c r="J34" i="2" s="1"/>
  <c r="J35" i="2" s="1"/>
  <c r="J41" i="2" s="1"/>
  <c r="J42" i="2" s="1"/>
  <c r="J43" i="2" s="1"/>
  <c r="J44" i="2" s="1"/>
  <c r="J45" i="2" s="1"/>
  <c r="E12" i="2"/>
  <c r="E13" i="2" s="1"/>
  <c r="E14" i="2" s="1"/>
  <c r="E15" i="2" s="1"/>
  <c r="E21" i="2" s="1"/>
  <c r="E22" i="2" s="1"/>
  <c r="E23" i="2" s="1"/>
  <c r="E24" i="2" s="1"/>
  <c r="E25" i="2" s="1"/>
  <c r="E31" i="2" s="1"/>
  <c r="E32" i="2" s="1"/>
  <c r="E33" i="2" s="1"/>
  <c r="E34" i="2" s="1"/>
  <c r="E35" i="2" s="1"/>
  <c r="E41" i="2" s="1"/>
  <c r="E42" i="2" s="1"/>
  <c r="E43" i="2" s="1"/>
  <c r="E44" i="2" s="1"/>
  <c r="E45" i="2" s="1"/>
  <c r="F11" i="4"/>
  <c r="K11" i="4" l="1"/>
  <c r="K15" i="4"/>
  <c r="E23" i="1" s="1"/>
  <c r="J21" i="4"/>
  <c r="J22" i="4" s="1"/>
  <c r="J23" i="4" s="1"/>
  <c r="J24" i="4" s="1"/>
  <c r="J25" i="4" s="1"/>
  <c r="F12" i="4"/>
  <c r="K12" i="4" l="1"/>
  <c r="K13" i="4" s="1"/>
  <c r="K14" i="4" s="1"/>
  <c r="M11" i="4"/>
  <c r="K21" i="4"/>
  <c r="K22" i="4" s="1"/>
  <c r="K23" i="4" s="1"/>
  <c r="K24" i="4" s="1"/>
  <c r="K25" i="4"/>
  <c r="E31" i="1" s="1"/>
  <c r="J31" i="4"/>
  <c r="J32" i="4" s="1"/>
  <c r="J33" i="4" s="1"/>
  <c r="J34" i="4" s="1"/>
  <c r="J35" i="4" s="1"/>
  <c r="F13" i="4"/>
  <c r="M12" i="4" l="1"/>
  <c r="N12" i="4" s="1"/>
  <c r="M13" i="4"/>
  <c r="N13" i="4" s="1"/>
  <c r="K31" i="4"/>
  <c r="K32" i="4" s="1"/>
  <c r="K33" i="4" s="1"/>
  <c r="K34" i="4" s="1"/>
  <c r="F14" i="4"/>
  <c r="J41" i="4"/>
  <c r="K35" i="4"/>
  <c r="Q23" i="1" s="1"/>
  <c r="J42" i="4" l="1"/>
  <c r="J43" i="4" s="1"/>
  <c r="J44" i="4" s="1"/>
  <c r="J45" i="4" s="1"/>
  <c r="K45" i="4" s="1"/>
  <c r="Q31" i="1" s="1"/>
  <c r="M14" i="4"/>
  <c r="N14" i="4" s="1"/>
  <c r="K41" i="4"/>
  <c r="K42" i="4" s="1"/>
  <c r="K43" i="4" s="1"/>
  <c r="K44" i="4" s="1"/>
  <c r="F15" i="4"/>
  <c r="M15" i="4" l="1"/>
  <c r="N15" i="4" s="1"/>
  <c r="F21" i="4"/>
  <c r="F22" i="4"/>
  <c r="N16" i="4" l="1"/>
  <c r="J23" i="1" s="1"/>
  <c r="M21" i="4"/>
  <c r="N21" i="4" s="1"/>
  <c r="M22" i="4"/>
  <c r="N22" i="4" s="1"/>
  <c r="F23" i="4"/>
  <c r="M23" i="4" l="1"/>
  <c r="N23" i="4" s="1"/>
  <c r="F24" i="4"/>
  <c r="M24" i="4" l="1"/>
  <c r="N24" i="4" s="1"/>
  <c r="F25" i="4"/>
  <c r="M25" i="4" s="1"/>
  <c r="F31" i="4" l="1"/>
  <c r="N25" i="4"/>
  <c r="F32" i="4"/>
  <c r="N26" i="4" l="1"/>
  <c r="J31" i="1" s="1"/>
  <c r="M32" i="4"/>
  <c r="N32" i="4" s="1"/>
  <c r="M31" i="4"/>
  <c r="N31" i="4" s="1"/>
  <c r="F33" i="4"/>
  <c r="M33" i="4" l="1"/>
  <c r="N33" i="4" s="1"/>
  <c r="F34" i="4"/>
  <c r="M34" i="4" l="1"/>
  <c r="N34" i="4" s="1"/>
  <c r="F35" i="4"/>
  <c r="M35" i="4" s="1"/>
  <c r="F11" i="2"/>
  <c r="F12" i="2"/>
  <c r="P3" i="1"/>
  <c r="F42" i="4" l="1"/>
  <c r="F41" i="4"/>
  <c r="N35" i="4"/>
  <c r="E22" i="1"/>
  <c r="K11" i="2"/>
  <c r="K12" i="2" s="1"/>
  <c r="K13" i="2" s="1"/>
  <c r="K14" i="2" s="1"/>
  <c r="N36" i="4" l="1"/>
  <c r="V23" i="1" s="1"/>
  <c r="M11" i="2"/>
  <c r="M12" i="2"/>
  <c r="N12" i="2" s="1"/>
  <c r="M41" i="4"/>
  <c r="N41" i="4" s="1"/>
  <c r="M42" i="4"/>
  <c r="N42" i="4" s="1"/>
  <c r="F43" i="4"/>
  <c r="K21" i="2"/>
  <c r="K22" i="2" s="1"/>
  <c r="K23" i="2" s="1"/>
  <c r="K24" i="2" s="1"/>
  <c r="F14" i="2"/>
  <c r="F13" i="2"/>
  <c r="M13" i="2" s="1"/>
  <c r="M14" i="2" l="1"/>
  <c r="N14" i="2" s="1"/>
  <c r="M43" i="4"/>
  <c r="N43" i="4" s="1"/>
  <c r="F44" i="4"/>
  <c r="F45" i="4"/>
  <c r="K25" i="2"/>
  <c r="E30" i="1" s="1"/>
  <c r="K35" i="2"/>
  <c r="Q22" i="1" s="1"/>
  <c r="F22" i="2"/>
  <c r="N13" i="2"/>
  <c r="F15" i="2"/>
  <c r="E19" i="1" s="1"/>
  <c r="F21" i="2" l="1"/>
  <c r="M15" i="2"/>
  <c r="N15" i="2" s="1"/>
  <c r="M45" i="4"/>
  <c r="N45" i="4" s="1"/>
  <c r="M22" i="2"/>
  <c r="N22" i="2" s="1"/>
  <c r="M44" i="4"/>
  <c r="N44" i="4" s="1"/>
  <c r="K31" i="2"/>
  <c r="K32" i="2" s="1"/>
  <c r="K33" i="2" s="1"/>
  <c r="K34" i="2" s="1"/>
  <c r="K45" i="2"/>
  <c r="K41" i="2"/>
  <c r="K42" i="2" s="1"/>
  <c r="Q30" i="1" s="1"/>
  <c r="F23" i="2"/>
  <c r="N46" i="4" l="1"/>
  <c r="V31" i="1" s="1"/>
  <c r="N16" i="2"/>
  <c r="J18" i="1" s="1"/>
  <c r="M23" i="2"/>
  <c r="N23" i="2" s="1"/>
  <c r="M21" i="2"/>
  <c r="N21" i="2" s="1"/>
  <c r="K43" i="2"/>
  <c r="K44" i="2" s="1"/>
  <c r="F24" i="2"/>
  <c r="M24" i="2" l="1"/>
  <c r="N24" i="2" s="1"/>
  <c r="F25" i="2"/>
  <c r="E27" i="1" s="1"/>
  <c r="M25" i="2" l="1"/>
  <c r="N25" i="2" s="1"/>
  <c r="F32" i="2"/>
  <c r="F31" i="2"/>
  <c r="N26" i="2" l="1"/>
  <c r="M32" i="2"/>
  <c r="N32" i="2" s="1"/>
  <c r="M31" i="2"/>
  <c r="N31" i="2" s="1"/>
  <c r="F33" i="2"/>
  <c r="J26" i="1" l="1"/>
  <c r="M33" i="2"/>
  <c r="N33" i="2" s="1"/>
  <c r="F34" i="2"/>
  <c r="M34" i="2" l="1"/>
  <c r="N34" i="2" s="1"/>
  <c r="F42" i="2"/>
  <c r="F35" i="2"/>
  <c r="M35" i="2" l="1"/>
  <c r="N35" i="2" s="1"/>
  <c r="N36" i="2" s="1"/>
  <c r="Q19" i="1"/>
  <c r="M42" i="2"/>
  <c r="N42" i="2" s="1"/>
  <c r="Q27" i="1"/>
  <c r="F41" i="2"/>
  <c r="F43" i="2"/>
  <c r="M41" i="2" l="1"/>
  <c r="N41" i="2" s="1"/>
  <c r="M43" i="2"/>
  <c r="N43" i="2" s="1"/>
  <c r="V18" i="1"/>
  <c r="F44" i="2"/>
  <c r="M44" i="2" l="1"/>
  <c r="N44" i="2" s="1"/>
  <c r="F45" i="2"/>
  <c r="M45" i="2" l="1"/>
  <c r="N45" i="2" s="1"/>
  <c r="N46" i="2" l="1"/>
  <c r="V26" i="1" s="1"/>
</calcChain>
</file>

<file path=xl/sharedStrings.xml><?xml version="1.0" encoding="utf-8"?>
<sst xmlns="http://schemas.openxmlformats.org/spreadsheetml/2006/main" count="599" uniqueCount="252">
  <si>
    <t>Salaire mensuel brut</t>
  </si>
  <si>
    <t>Année</t>
  </si>
  <si>
    <t>Points</t>
  </si>
  <si>
    <t>valeur du point</t>
  </si>
  <si>
    <t>points de compétence</t>
  </si>
  <si>
    <t>Ecart Mensuel</t>
  </si>
  <si>
    <t>Classification actuelle</t>
  </si>
  <si>
    <t>Nouvelle Classification</t>
  </si>
  <si>
    <t>Salaire Mensuel</t>
  </si>
  <si>
    <t>Ecart Annuel (14 mois)</t>
  </si>
  <si>
    <t>Total Points</t>
  </si>
  <si>
    <t>Points acquis</t>
  </si>
  <si>
    <t>+0</t>
  </si>
  <si>
    <t>Nouvelle classification</t>
  </si>
  <si>
    <t>Perte cumulée 
sur 8 ans</t>
  </si>
  <si>
    <t>Perte cumulée 
sur 12 ans</t>
  </si>
  <si>
    <t>Perte cumulée 
sur 16 ans</t>
  </si>
  <si>
    <r>
      <t xml:space="preserve">Salaire brut Mensuel 
en </t>
    </r>
    <r>
      <rPr>
        <b/>
        <sz val="11"/>
        <color theme="1"/>
        <rFont val="Calibri"/>
        <family val="2"/>
        <scheme val="minor"/>
      </rPr>
      <t>2023</t>
    </r>
  </si>
  <si>
    <r>
      <t xml:space="preserve">Salaire brut Mensuel 
en </t>
    </r>
    <r>
      <rPr>
        <b/>
        <sz val="11"/>
        <color theme="1"/>
        <rFont val="Calibri"/>
        <family val="2"/>
        <scheme val="minor"/>
      </rPr>
      <t>2027</t>
    </r>
  </si>
  <si>
    <r>
      <t xml:space="preserve">Salaire brut Mensuel 
en </t>
    </r>
    <r>
      <rPr>
        <b/>
        <sz val="11"/>
        <color theme="1"/>
        <rFont val="Calibri"/>
        <family val="2"/>
        <scheme val="minor"/>
      </rPr>
      <t>2031</t>
    </r>
  </si>
  <si>
    <r>
      <t xml:space="preserve">Salaire brut Mensuel 
en </t>
    </r>
    <r>
      <rPr>
        <b/>
        <sz val="11"/>
        <color theme="1"/>
        <rFont val="Calibri"/>
        <family val="2"/>
        <scheme val="minor"/>
      </rPr>
      <t>2035</t>
    </r>
  </si>
  <si>
    <t>Employé</t>
  </si>
  <si>
    <t>Cadre 8+</t>
  </si>
  <si>
    <t>Cadre 5</t>
  </si>
  <si>
    <t>Cadre 6+7</t>
  </si>
  <si>
    <t>Plafond ancienneté</t>
  </si>
  <si>
    <t>oui</t>
  </si>
  <si>
    <t>non</t>
  </si>
  <si>
    <t>Gain/Perte cumulée 
sur 4 ans</t>
  </si>
  <si>
    <t>Simulateur de transposition vers la nouvelle classification</t>
  </si>
  <si>
    <t>Rejoignez nous!</t>
  </si>
  <si>
    <t>Les données chiffrées n'ont qu'une valeur indicative. Les sommes peuvent varier en fonction du repositionnement qui serait opéré.</t>
  </si>
  <si>
    <t>S'agissant des points de compétence, cela revient aux situations suivantes :</t>
  </si>
  <si>
    <t>Actuelle</t>
  </si>
  <si>
    <t xml:space="preserve">Nouvelle </t>
  </si>
  <si>
    <t>Nouveau salaire brut mensuel au bout de 12 ans
 avec 2 points d'ancienneté par an 
et 3 attributions de points de compétence sur la période</t>
  </si>
  <si>
    <t>Nouveau salaire brut mensuel au bout de 8 ans
 avec 2 points d'ancienneté par an 
et 2 attributions de points de compétence sur la période</t>
  </si>
  <si>
    <t>Nouveau salaire brut mensuel au bout de 16 ans
 avec 2 points d'ancienneté par an 
et 4 attributions de points de compétence sur la période</t>
  </si>
  <si>
    <t>Cadre 8 et +</t>
  </si>
  <si>
    <t>En effet, par souci pédagogique, nous appliquons un repositionnement automatique par tranche de niveau.</t>
  </si>
  <si>
    <t>Sélectionner un statut dans la liste</t>
  </si>
  <si>
    <t xml:space="preserve"> Contact : </t>
  </si>
  <si>
    <t>Cadre 6 + 7</t>
  </si>
  <si>
    <t>OUI</t>
  </si>
  <si>
    <t>Voiture balai</t>
  </si>
  <si>
    <t>NON</t>
  </si>
  <si>
    <t>Scénario particulier de celui qui n'obtient rien pendant une période de 4 ans</t>
  </si>
  <si>
    <t>STATUT ACTUEL</t>
  </si>
  <si>
    <t>Plafond ancienneté atteint</t>
  </si>
  <si>
    <t>Entrer votre coefficient développé</t>
  </si>
  <si>
    <t>Cadre</t>
  </si>
  <si>
    <t>snfocos@snfocos.fr</t>
  </si>
  <si>
    <t>Nouveau salaire brut mensuel au bout de 4 ans
 avec 2 points d'ancienneté par an 
et 1 attribution de points de compétence sur la période</t>
  </si>
  <si>
    <t>Nouveau salaire brut mensuel au bout de 4 ans
 avec 1 attribution de points de compétence sur la période</t>
  </si>
  <si>
    <t>Nouveau salaire brut mensuel au bout de 12 ans
 avec 3 attributions de points de compétence sur la période</t>
  </si>
  <si>
    <t>Nouveau salaire brut mensuel au bout de 8 ans
 avec 2 attributions de points de compétence sur la période</t>
  </si>
  <si>
    <t>Nouveau salaire brut mensuel au bout de 16 ans
 avec 4 attributions de points de compétence sur la période</t>
  </si>
  <si>
    <t>Technicien de prestations</t>
  </si>
  <si>
    <t>Gestionnaire des opérateurs sociaux 010601 Technicien conseil aides collectives d’action sociale 371 57,95 38,01 2,96 1,08 100</t>
  </si>
  <si>
    <t>Contrôleur allocataire</t>
  </si>
  <si>
    <t>Contrôleur de sécurité</t>
  </si>
  <si>
    <t>Chargé de communication</t>
  </si>
  <si>
    <t>Manager réseaux et projets</t>
  </si>
  <si>
    <t>Comptable</t>
  </si>
  <si>
    <t>Gestionnaire conseil assurance maladie 010402  2 100 100</t>
  </si>
  <si>
    <t>Technicien conseil aides collectives d’action sociale</t>
  </si>
  <si>
    <t>011101 s 6646 1,05 70,36 28,21 0,29 0,08 0,02 100</t>
  </si>
  <si>
    <t>Gestionnaire conseil allocataire</t>
  </si>
  <si>
    <t>011102  2167 0,28 96,86 2,54 0,32 100</t>
  </si>
  <si>
    <t>Gestionnaire conseil allocataires expert</t>
  </si>
  <si>
    <t>011103  14580 0,12 83,01 16,84 0,02 0,01 100</t>
  </si>
  <si>
    <t>Gestionnaire conseil de l'assurance maladie</t>
  </si>
  <si>
    <t>011104 l 1884 99,73 0,21 0,05 100</t>
  </si>
  <si>
    <t>Technicien du service médical</t>
  </si>
  <si>
    <t>011105  2510 6,02 87,57 6,41 100</t>
  </si>
  <si>
    <t>Conseiller retraite et accueil</t>
  </si>
  <si>
    <t>011106 e 833 28,33 70,35 1,2 0,12 100</t>
  </si>
  <si>
    <t>Technicien retraite conseil back-office</t>
  </si>
  <si>
    <t>011108  78 61,54 37,18 1,28 100</t>
  </si>
  <si>
    <t>Technicien retraite spécialisé</t>
  </si>
  <si>
    <t>011109  323 53,87 45,51 0,62 100</t>
  </si>
  <si>
    <t>Technicien compte prestataire</t>
  </si>
  <si>
    <t>011110 s 270 31,11 68,89 100</t>
  </si>
  <si>
    <t>Technicien carrière et déclarations</t>
  </si>
  <si>
    <t>Technicien régularisation de carrière</t>
  </si>
  <si>
    <t>011111  212 75,47 24,53 100</t>
  </si>
  <si>
    <t>011114  272 55,88 44,12 100</t>
  </si>
  <si>
    <t>Gestionnaire conseil de la tarification des AT/MP</t>
  </si>
  <si>
    <t>011115 2455 48,19 51,61 0,2 100</t>
  </si>
  <si>
    <t>Gestionnaire du recouvrement</t>
  </si>
  <si>
    <t>011116  396 16,16 83,33 0,51 100</t>
  </si>
  <si>
    <t>Gestionnaire du recouvrement spécialisé</t>
  </si>
  <si>
    <t xml:space="preserve">011117 </t>
  </si>
  <si>
    <t>Gestionnaire du recouvrement en Centre National de Traitement</t>
  </si>
  <si>
    <t>011201  981 22,32 75,94 1,63 0,1 100</t>
  </si>
  <si>
    <t>Conseiller service à l'usager</t>
  </si>
  <si>
    <t>Technicien service à l'usager</t>
  </si>
  <si>
    <t>011202  478 0,84 92,26 6,28 0,21 0,42 100</t>
  </si>
  <si>
    <t>011203  4889 0,37 73,02 25,89 0,63 0,08 100</t>
  </si>
  <si>
    <t>Conseiller service de l'assurance maladie</t>
  </si>
  <si>
    <t>011208  316 61,71 19,62 18,67 100</t>
  </si>
  <si>
    <t>Conseiller offre de service</t>
  </si>
  <si>
    <t>Référent technique prestations</t>
  </si>
  <si>
    <t>011301 5219 0,08 95,04 4,02 0,67 0,15 0,04 100</t>
  </si>
  <si>
    <t>011302  778 0,13 99,74 0,13 100</t>
  </si>
  <si>
    <t>Référent technique accueil</t>
  </si>
  <si>
    <t>011304  2663 91,1 7,89 0,49 0,34 0,19 100</t>
  </si>
  <si>
    <t>Référent technique du service médical</t>
  </si>
  <si>
    <t>011306 425 2,59 89,18 7,06 0,94 0,24 100</t>
  </si>
  <si>
    <t>011307  513 50,1 46 3,31 0,19 0,19 0,19 100</t>
  </si>
  <si>
    <t>Référent technique retraite</t>
  </si>
  <si>
    <t>011313  1125 0,18 82,76 15,02 1,6 0,36 0,09 100</t>
  </si>
  <si>
    <t>Référent technique recouvrement</t>
  </si>
  <si>
    <t>011316  62 38,71 43,55 17,74 100</t>
  </si>
  <si>
    <t>Référent technique plate-forme de service</t>
  </si>
  <si>
    <t>011317  199 80,9 13,07 4,52 1,01 0,5 100</t>
  </si>
  <si>
    <t>Référent technique de la tarification des AT/MP</t>
  </si>
  <si>
    <t>Enquêteur AT / MP</t>
  </si>
  <si>
    <t>020302  195 1,54 22,56 41,03 30,77 4,1 100</t>
  </si>
  <si>
    <t>Inspecteur du recouvrement 020401  1450 0,9 0,48 0,21 0,07 33,24 64,55 0,55 100</t>
  </si>
  <si>
    <t>Inspecteur du recouvrement</t>
  </si>
  <si>
    <t>Contrôleur du recouvrement 020501  205 0,98 75,12 22,93 0,98 100</t>
  </si>
  <si>
    <t>Contrôleur du recouvrement</t>
  </si>
  <si>
    <t>Contrôleur allocataire 020601  618 0,16 0,81 1,62 89,16 8,25 100</t>
  </si>
  <si>
    <t>Chargé de marketing 030103  537 2,23 59,59 33,52 3,35 0,37 0,93 100</t>
  </si>
  <si>
    <t>Conseiller informatique services</t>
  </si>
  <si>
    <t>040102  301 11,96 0,33 85,05 2,66 100</t>
  </si>
  <si>
    <t>Auxiliaire de puériculture</t>
  </si>
  <si>
    <t>Educateur de jeunes enfants</t>
  </si>
  <si>
    <t>040103 103 2,91 0,97 3,88 2,91 89,32 100</t>
  </si>
  <si>
    <t>040201  788 0,13 99,62 0,25 100</t>
  </si>
  <si>
    <t>Travailleur social</t>
  </si>
  <si>
    <t>040202  2589 0,04 0,04 98,07 0,81 0,12 0,04 0,85 0,04 100</t>
  </si>
  <si>
    <t>Assistant de service social</t>
  </si>
  <si>
    <t>040203  399 1,5 97,49 0,25 0,75 100</t>
  </si>
  <si>
    <t>Conseiller en économie sociale et familiale</t>
  </si>
  <si>
    <t>040207  120 5,83 16,67 15 11,67 9,17 1,67 5,83 4,17 7,5 21,67 0,83 100</t>
  </si>
  <si>
    <t>Animateur socioculturel DEFA</t>
  </si>
  <si>
    <t>040301  379 2,64 5,54 49,34 40,37 1,58 0,26 0,26 100</t>
  </si>
  <si>
    <t>Conseiller technique en action sociale</t>
  </si>
  <si>
    <t>040302  349 0,86 0,57 7,74 46,99 40,97 2,58 0,29 100</t>
  </si>
  <si>
    <t>Conseiller technique thématique</t>
  </si>
  <si>
    <t>040303  339 1,18 4,13 52,21 39,53 2,65 0,29 100</t>
  </si>
  <si>
    <t>Conseiller technique territorial</t>
  </si>
  <si>
    <t>Ingénieur conseil 050301  163 0,61 99,39 100</t>
  </si>
  <si>
    <t>Ingénieur conseil</t>
  </si>
  <si>
    <t>Contrôleur de sécurité 050501  572 0,17 0,17 0,17 61,89 37,06 0,52 100</t>
  </si>
  <si>
    <t>060101  2354 0,04 0,76 0,04 98,94 0,21 100</t>
  </si>
  <si>
    <t>Aide soignant</t>
  </si>
  <si>
    <t>060103  360 0,83 98,89 0,28 100</t>
  </si>
  <si>
    <t>Aide médico-psychologique</t>
  </si>
  <si>
    <t>060204  320 3,44 96,56 100</t>
  </si>
  <si>
    <t>Ergothérapeute</t>
  </si>
  <si>
    <t>060205  95 100 100</t>
  </si>
  <si>
    <t>Psychomotricien</t>
  </si>
  <si>
    <t>060206  92 4,35 1,09 93,48 1,09 100</t>
  </si>
  <si>
    <t>Diététicien</t>
  </si>
  <si>
    <t>Infirmier 060301  2088 0,05 0,34 0,24 99,28 0,1 100</t>
  </si>
  <si>
    <t>Infirmier</t>
  </si>
  <si>
    <t>Pharmacien 060401  51 96,08 3,92 100</t>
  </si>
  <si>
    <t>Pharmacien</t>
  </si>
  <si>
    <t>060601  303 0,66 99,34 100</t>
  </si>
  <si>
    <t>Psychologue clinicien</t>
  </si>
  <si>
    <t>060602  55 1,82 98,18 100</t>
  </si>
  <si>
    <t>Neuropsychologue</t>
  </si>
  <si>
    <t>060701  47 2,13 6,38 2,13 87,23 2,13 100</t>
  </si>
  <si>
    <t>Chargé d'insertion professionnelle</t>
  </si>
  <si>
    <t>060703  193 6,22 4,66 48,19 40,93 100</t>
  </si>
  <si>
    <t>Formateur professionnel pour adultes handicapés</t>
  </si>
  <si>
    <t>060801  250 0,8 0,4 98,8 100</t>
  </si>
  <si>
    <t>Moniteur-éducateur</t>
  </si>
  <si>
    <t>060802  48 4,17 2,08 14,58 75 2,08 2,08 100</t>
  </si>
  <si>
    <t>Moniteur d'atelier</t>
  </si>
  <si>
    <t>060804  459 1,74 97,82 0,44 100</t>
  </si>
  <si>
    <t>Educateur spécialisé</t>
  </si>
  <si>
    <t>060807  75 33,33 64 2,67 100</t>
  </si>
  <si>
    <t>Educateur sportif</t>
  </si>
  <si>
    <t>060901  87 4,6 70,11 25,29 100</t>
  </si>
  <si>
    <t>Préparateur en pharmacie</t>
  </si>
  <si>
    <t>060905  56 1,79 1,79 39,29 42,86 14,29 100</t>
  </si>
  <si>
    <t>Orthoprothésiste</t>
  </si>
  <si>
    <t>Médecin 061001  705 49,65 47,38 2,98 100</t>
  </si>
  <si>
    <t>Médecin</t>
  </si>
  <si>
    <t>Délégué de l'assurance maladie 070301  945 0,53 15,03 72,28 11,75 0,21 0,21 100</t>
  </si>
  <si>
    <t>Délégué de l’Assurance Maladie</t>
  </si>
  <si>
    <t>Dentiste 061101  138 100 100</t>
  </si>
  <si>
    <t>Dentiste</t>
  </si>
  <si>
    <t>070403  563 0,36 93,43 2,31 3,91 100</t>
  </si>
  <si>
    <t>Gestionnaire de production du service médical</t>
  </si>
  <si>
    <t>071001  245 1,22 2,04 0,41 96,33 100</t>
  </si>
  <si>
    <t>Infirmier Conseiller en santé</t>
  </si>
  <si>
    <t>071002  758 9,23 89,31 1,32 0,13 100</t>
  </si>
  <si>
    <t>Conseiller assurance maladie</t>
  </si>
  <si>
    <t>Auxiliaire médical du service médical 071101  131 100 100</t>
  </si>
  <si>
    <t>Infirmier du service Médical</t>
  </si>
  <si>
    <t>080101  605 6,45 33,88 18,68 10,25 15,04 10,41 4,13 1,16 100</t>
  </si>
  <si>
    <t>Conseiller juridique</t>
  </si>
  <si>
    <t>080104  275 4,36 30,18 27,27 27,27 10,91 100</t>
  </si>
  <si>
    <t>Audiencier</t>
  </si>
  <si>
    <t xml:space="preserve">080201 </t>
  </si>
  <si>
    <t>Gestionnaire des litiges et des créances / Conseiller juridique</t>
  </si>
  <si>
    <t>080204  871 0,11 75,77 14,24 6,77 1,95 1,03 0,11 100</t>
  </si>
  <si>
    <t>Référent technique litiges et créances</t>
  </si>
  <si>
    <t xml:space="preserve">090402 </t>
  </si>
  <si>
    <t>Gestionnaire maîtrise des risques / Gestionnaire contrôle des risques</t>
  </si>
  <si>
    <t xml:space="preserve">090403 </t>
  </si>
  <si>
    <t>Vérificateur Législation / Contrôleur prestations / Gestionnaire contrôle des risques</t>
  </si>
  <si>
    <t xml:space="preserve">090405 </t>
  </si>
  <si>
    <t>Référent technique vérification / Référent technique contrôle prestations / Référent technique contrôle des risques prestations</t>
  </si>
  <si>
    <t>100101  1626 60,39 35,61 2,64 0,74 0,31 0,25 0,06 100</t>
  </si>
  <si>
    <t>100104  1051 89,34 8,18 1,52 0,67 0,29 100</t>
  </si>
  <si>
    <t>Référent technique en comptabilité</t>
  </si>
  <si>
    <t>Trésorier 100301  45 20 26,67 15,56 11,11 11,11 15,56 100</t>
  </si>
  <si>
    <t>Gestionnaire de flux financiers</t>
  </si>
  <si>
    <t>120201  1155 0,09 51,95 39,05 5,19 2,6 0,78 0,35 100</t>
  </si>
  <si>
    <t>Gestionnaire administratif des RH</t>
  </si>
  <si>
    <t>120202  663 1,36 79,19 13,57 3,32 1,21 0,15 0,15 1,06 100</t>
  </si>
  <si>
    <t>Référent technique administration des RH</t>
  </si>
  <si>
    <t>Chargé de communication 140201  538 1,3 28,44 25,84 13,75 15,43 11,9 2,79 0,37 0,19 100</t>
  </si>
  <si>
    <t>140402  2224 0,04 56,12 39,97 3,06 0,45 0,22 , , 0,13 100</t>
  </si>
  <si>
    <t>Secrétaire</t>
  </si>
  <si>
    <t>140401  1769 1,87 48,28 31,77 12,32 5,09 0,62 , 0,06 100</t>
  </si>
  <si>
    <t>Assistante de direction</t>
  </si>
  <si>
    <t>140601  4061 0,02 4,6 82,2 12,16 0,59 0,12 0,1 0,07 , 0,05 0,02 0,05 100</t>
  </si>
  <si>
    <t>Technicien traitement de l’information</t>
  </si>
  <si>
    <t>140602  529 0,57 86,39 10,21 1,51 0,57 0,57 0,19 100</t>
  </si>
  <si>
    <t>Référent technique traitement de l’information</t>
  </si>
  <si>
    <t>15 Assistance logistique Agent hotelier 150201  1404 10,68 83,05 4,63 0,21 0,07 1,28 0,07 100</t>
  </si>
  <si>
    <t>Agent de collectivité</t>
  </si>
  <si>
    <t>Gestionnaire des achats 160102  1475 0,07 0,41 28,68 42,44 12,34 7,66 4 2,37 0,27 0,07 0,2 0,41 0,07 0,34 0,14 0,14 0,14 0,07 0,07 0,07 0,07 100</t>
  </si>
  <si>
    <t>Gestionnaire des biens et services</t>
  </si>
  <si>
    <t>Manager opérationnel 170102  5484 0,2 23,74 39,84 25,18 4,3 1,13 0,91 0,04 0,05 0,02 0,38 0,73 1,17 0,44 0,71 0,2 0,15 0,18 0,13 0,16 0,2 , 0,11 0,02 100</t>
  </si>
  <si>
    <t>Responsable d’unité(s)</t>
  </si>
  <si>
    <t>170201 175 6,29 14,86 32 26,29 7,43 4,57 2,29 0,57 0,57 0,57 0,57 0,57 3,43 100</t>
  </si>
  <si>
    <t>170205 1372 0,22 10,28 7,29 15,16 19,31 15,82 4,96 0,07 0,29 0,15 2,04 3,86 7,58 8,82 2,99 0,73 0,36 0,07 100</t>
  </si>
  <si>
    <t>Chef de projets</t>
  </si>
  <si>
    <t>170301  1780 0,28 0,56 1,8 15,06 42,64 25,73 0,17 0,45 0,45 2,08 2,58 2,13 1,18 0,45 2,98 0,06 0,45 0,28 0,67 100</t>
  </si>
  <si>
    <t>Manager de secteur</t>
  </si>
  <si>
    <t>170302  457 11,16 33,48 40,48 0,22 0,22 0,22 0,22 1,09 0,44 0,22 0,66 5,91 2,84 2,84 100</t>
  </si>
  <si>
    <t>Manager de branche</t>
  </si>
  <si>
    <t>Emploi repère</t>
  </si>
  <si>
    <t>Futur niveau</t>
  </si>
  <si>
    <t>A</t>
  </si>
  <si>
    <t>B</t>
  </si>
  <si>
    <t>C</t>
  </si>
  <si>
    <t>D</t>
  </si>
  <si>
    <t>E</t>
  </si>
  <si>
    <t>F</t>
  </si>
  <si>
    <t>G</t>
  </si>
  <si>
    <t>H</t>
  </si>
  <si>
    <t>Selectionner votre emploi repère</t>
  </si>
  <si>
    <t>Niveau de repositionnement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</si>
</sst>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000\ &quot;€&quot;;[Red]\-#,##0.000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sz val="11"/>
      <name val="Arial Black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sz val="11"/>
      <color theme="1"/>
      <name val="Arial"/>
      <family val="2"/>
    </font>
    <font>
      <b/>
      <sz val="14"/>
      <color theme="1"/>
      <name val="Arial Black"/>
      <family val="2"/>
    </font>
    <font>
      <b/>
      <sz val="12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quotePrefix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6" fontId="0" fillId="0" borderId="4" xfId="0" applyNumberFormat="1" applyBorder="1" applyAlignment="1">
      <alignment horizontal="center"/>
    </xf>
    <xf numFmtId="6" fontId="0" fillId="0" borderId="2" xfId="0" applyNumberFormat="1" applyBorder="1"/>
    <xf numFmtId="0" fontId="0" fillId="8" borderId="0" xfId="0" applyFill="1"/>
    <xf numFmtId="0" fontId="0" fillId="0" borderId="9" xfId="0" applyBorder="1" applyAlignment="1">
      <alignment horizontal="center" vertical="center" wrapText="1"/>
    </xf>
    <xf numFmtId="0" fontId="0" fillId="8" borderId="0" xfId="0" applyFill="1" applyAlignment="1"/>
    <xf numFmtId="0" fontId="0" fillId="9" borderId="7" xfId="0" applyFill="1" applyBorder="1" applyAlignment="1">
      <alignment horizontal="center"/>
    </xf>
    <xf numFmtId="0" fontId="0" fillId="9" borderId="1" xfId="0" quotePrefix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7" xfId="0" quotePrefix="1" applyFill="1" applyBorder="1" applyAlignment="1">
      <alignment horizontal="center"/>
    </xf>
    <xf numFmtId="6" fontId="2" fillId="5" borderId="8" xfId="0" applyNumberFormat="1" applyFont="1" applyFill="1" applyBorder="1" applyAlignment="1">
      <alignment horizontal="center" vertical="center" wrapText="1"/>
    </xf>
    <xf numFmtId="0" fontId="10" fillId="8" borderId="0" xfId="0" applyFont="1" applyFill="1" applyAlignment="1"/>
    <xf numFmtId="0" fontId="10" fillId="8" borderId="0" xfId="0" applyFont="1" applyFill="1"/>
    <xf numFmtId="0" fontId="0" fillId="8" borderId="0" xfId="0" applyFill="1"/>
    <xf numFmtId="164" fontId="0" fillId="8" borderId="0" xfId="0" applyNumberFormat="1" applyFill="1"/>
    <xf numFmtId="0" fontId="2" fillId="8" borderId="0" xfId="0" applyFont="1" applyFill="1" applyAlignment="1">
      <alignment horizontal="right"/>
    </xf>
    <xf numFmtId="0" fontId="3" fillId="8" borderId="0" xfId="0" applyFont="1" applyFill="1" applyAlignment="1">
      <alignment horizontal="right"/>
    </xf>
    <xf numFmtId="0" fontId="4" fillId="8" borderId="0" xfId="0" applyFont="1" applyFill="1" applyAlignment="1"/>
    <xf numFmtId="0" fontId="0" fillId="8" borderId="0" xfId="0" applyFill="1" applyAlignment="1">
      <alignment wrapText="1"/>
    </xf>
    <xf numFmtId="0" fontId="0" fillId="8" borderId="0" xfId="0" applyFill="1" applyAlignment="1"/>
    <xf numFmtId="0" fontId="5" fillId="8" borderId="0" xfId="0" applyFont="1" applyFill="1" applyBorder="1" applyAlignment="1" applyProtection="1">
      <alignment horizontal="center" vertical="center"/>
      <protection locked="0"/>
    </xf>
    <xf numFmtId="164" fontId="10" fillId="8" borderId="0" xfId="0" applyNumberFormat="1" applyFont="1" applyFill="1"/>
    <xf numFmtId="0" fontId="6" fillId="8" borderId="0" xfId="0" applyFont="1" applyFill="1" applyAlignment="1">
      <alignment horizontal="right"/>
    </xf>
    <xf numFmtId="6" fontId="10" fillId="8" borderId="0" xfId="0" applyNumberFormat="1" applyFont="1" applyFill="1" applyAlignment="1">
      <alignment horizontal="center"/>
    </xf>
    <xf numFmtId="0" fontId="12" fillId="10" borderId="15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Alignment="1">
      <alignment horizontal="center" wrapText="1"/>
    </xf>
    <xf numFmtId="0" fontId="0" fillId="8" borderId="0" xfId="0" applyFill="1" applyBorder="1"/>
    <xf numFmtId="0" fontId="10" fillId="8" borderId="0" xfId="0" applyFont="1" applyFill="1" applyBorder="1" applyAlignment="1">
      <alignment horizontal="center"/>
    </xf>
    <xf numFmtId="0" fontId="0" fillId="8" borderId="0" xfId="0" applyFill="1" applyBorder="1" applyAlignment="1"/>
    <xf numFmtId="0" fontId="10" fillId="8" borderId="0" xfId="0" applyFont="1" applyFill="1" applyBorder="1"/>
    <xf numFmtId="0" fontId="0" fillId="8" borderId="0" xfId="0" applyFill="1" applyBorder="1" applyAlignment="1">
      <alignment wrapText="1"/>
    </xf>
    <xf numFmtId="0" fontId="10" fillId="8" borderId="0" xfId="0" applyFont="1" applyFill="1" applyBorder="1" applyAlignment="1"/>
    <xf numFmtId="0" fontId="6" fillId="0" borderId="0" xfId="0" applyFont="1" applyFill="1" applyAlignment="1">
      <alignment horizontal="right"/>
    </xf>
    <xf numFmtId="0" fontId="10" fillId="0" borderId="32" xfId="0" applyFont="1" applyBorder="1"/>
    <xf numFmtId="0" fontId="0" fillId="8" borderId="0" xfId="0" applyFill="1" applyAlignment="1">
      <alignment vertical="top" wrapText="1"/>
    </xf>
    <xf numFmtId="0" fontId="10" fillId="1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12" fillId="11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13" fillId="8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1" fillId="8" borderId="0" xfId="0" applyFont="1" applyFill="1" applyAlignment="1">
      <alignment horizontal="right"/>
    </xf>
    <xf numFmtId="0" fontId="3" fillId="11" borderId="0" xfId="0" applyFont="1" applyFill="1" applyAlignment="1">
      <alignment horizontal="right"/>
    </xf>
    <xf numFmtId="0" fontId="4" fillId="11" borderId="0" xfId="0" applyFont="1" applyFill="1" applyAlignment="1"/>
    <xf numFmtId="0" fontId="12" fillId="10" borderId="28" xfId="0" applyFont="1" applyFill="1" applyBorder="1" applyAlignment="1" applyProtection="1">
      <alignment horizontal="center" wrapText="1"/>
      <protection locked="0"/>
    </xf>
    <xf numFmtId="0" fontId="12" fillId="10" borderId="29" xfId="0" applyFont="1" applyFill="1" applyBorder="1" applyAlignment="1" applyProtection="1">
      <alignment horizontal="center" wrapText="1"/>
      <protection locked="0"/>
    </xf>
    <xf numFmtId="0" fontId="12" fillId="10" borderId="30" xfId="0" applyFont="1" applyFill="1" applyBorder="1" applyAlignment="1" applyProtection="1">
      <alignment horizontal="center" wrapText="1"/>
      <protection locked="0"/>
    </xf>
    <xf numFmtId="0" fontId="3" fillId="11" borderId="0" xfId="0" applyFont="1" applyFill="1" applyAlignment="1">
      <alignment horizontal="right" vertical="center"/>
    </xf>
    <xf numFmtId="0" fontId="4" fillId="11" borderId="0" xfId="0" applyFont="1" applyFill="1" applyAlignment="1">
      <alignment vertical="center"/>
    </xf>
    <xf numFmtId="0" fontId="4" fillId="11" borderId="31" xfId="0" applyFont="1" applyFill="1" applyBorder="1" applyAlignment="1">
      <alignment vertical="center"/>
    </xf>
    <xf numFmtId="0" fontId="2" fillId="11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0" fontId="10" fillId="0" borderId="0" xfId="0" applyFont="1" applyAlignment="1">
      <alignment horizontal="right"/>
    </xf>
    <xf numFmtId="6" fontId="2" fillId="5" borderId="20" xfId="0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6" fontId="0" fillId="3" borderId="18" xfId="0" applyNumberFormat="1" applyFill="1" applyBorder="1" applyAlignment="1">
      <alignment horizontal="center" wrapText="1"/>
    </xf>
    <xf numFmtId="0" fontId="0" fillId="3" borderId="19" xfId="0" applyFill="1" applyBorder="1" applyAlignment="1">
      <alignment horizontal="center"/>
    </xf>
    <xf numFmtId="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6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/>
    <xf numFmtId="6" fontId="0" fillId="6" borderId="16" xfId="0" applyNumberForma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4" xfId="0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6" borderId="23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right" wrapText="1"/>
    </xf>
    <xf numFmtId="0" fontId="0" fillId="7" borderId="1" xfId="0" applyFill="1" applyBorder="1" applyAlignment="1">
      <alignment horizontal="right" wrapText="1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6" fontId="0" fillId="3" borderId="12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/>
    <xf numFmtId="0" fontId="8" fillId="8" borderId="0" xfId="1" applyFont="1" applyFill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22" xfId="0" applyBorder="1" applyAlignment="1"/>
    <xf numFmtId="0" fontId="0" fillId="0" borderId="0" xfId="0" applyBorder="1" applyAlignment="1"/>
    <xf numFmtId="0" fontId="0" fillId="7" borderId="33" xfId="0" applyFill="1" applyBorder="1" applyAlignment="1">
      <alignment horizontal="right" vertical="center" wrapText="1"/>
    </xf>
    <xf numFmtId="0" fontId="0" fillId="7" borderId="26" xfId="0" applyFill="1" applyBorder="1" applyAlignment="1">
      <alignment horizontal="right" vertical="center" wrapText="1"/>
    </xf>
    <xf numFmtId="0" fontId="0" fillId="7" borderId="27" xfId="0" applyFill="1" applyBorder="1" applyAlignment="1">
      <alignment horizontal="right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6" fontId="0" fillId="7" borderId="7" xfId="0" applyNumberFormat="1" applyFill="1" applyBorder="1" applyAlignment="1">
      <alignment horizontal="center" vertical="center"/>
    </xf>
    <xf numFmtId="0" fontId="0" fillId="0" borderId="7" xfId="0" applyBorder="1" applyAlignment="1"/>
    <xf numFmtId="0" fontId="0" fillId="7" borderId="6" xfId="0" applyFill="1" applyBorder="1" applyAlignment="1">
      <alignment horizontal="right" wrapText="1"/>
    </xf>
    <xf numFmtId="0" fontId="0" fillId="7" borderId="7" xfId="0" applyFill="1" applyBorder="1" applyAlignment="1">
      <alignment horizontal="right" wrapText="1"/>
    </xf>
    <xf numFmtId="0" fontId="0" fillId="4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12" borderId="41" xfId="0" applyFont="1" applyFill="1" applyBorder="1" applyAlignment="1">
      <alignment horizontal="center" vertical="center" wrapText="1"/>
    </xf>
    <xf numFmtId="0" fontId="1" fillId="12" borderId="42" xfId="0" applyFont="1" applyFill="1" applyBorder="1" applyAlignment="1">
      <alignment horizontal="center" vertical="center" wrapText="1"/>
    </xf>
    <xf numFmtId="0" fontId="15" fillId="0" borderId="0" xfId="1" applyFont="1" applyBorder="1" applyAlignment="1"/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0" fillId="8" borderId="0" xfId="0" applyFill="1" applyAlignment="1" applyProtection="1">
      <protection locked="0"/>
    </xf>
    <xf numFmtId="0" fontId="3" fillId="11" borderId="0" xfId="0" applyFont="1" applyFill="1" applyAlignment="1" applyProtection="1">
      <alignment horizontal="right"/>
      <protection locked="0"/>
    </xf>
    <xf numFmtId="0" fontId="5" fillId="10" borderId="43" xfId="0" applyFont="1" applyFill="1" applyBorder="1" applyAlignment="1" applyProtection="1">
      <alignment horizontal="center" vertical="center"/>
      <protection locked="0"/>
    </xf>
    <xf numFmtId="0" fontId="12" fillId="10" borderId="44" xfId="0" applyFont="1" applyFill="1" applyBorder="1" applyAlignment="1" applyProtection="1">
      <alignment horizontal="center" wrapText="1"/>
      <protection locked="0"/>
    </xf>
    <xf numFmtId="0" fontId="12" fillId="10" borderId="45" xfId="0" applyFont="1" applyFill="1" applyBorder="1" applyAlignment="1" applyProtection="1">
      <alignment horizontal="center" wrapText="1"/>
      <protection locked="0"/>
    </xf>
    <xf numFmtId="0" fontId="12" fillId="10" borderId="46" xfId="0" applyFont="1" applyFill="1" applyBorder="1" applyAlignment="1" applyProtection="1">
      <alignment horizontal="center" wrapText="1"/>
      <protection locked="0"/>
    </xf>
    <xf numFmtId="0" fontId="5" fillId="10" borderId="47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10" borderId="0" xfId="0" applyFill="1"/>
    <xf numFmtId="0" fontId="10" fillId="12" borderId="41" xfId="0" applyFont="1" applyFill="1" applyBorder="1" applyAlignment="1">
      <alignment horizontal="center"/>
    </xf>
    <xf numFmtId="0" fontId="10" fillId="12" borderId="42" xfId="0" applyFont="1" applyFill="1" applyBorder="1" applyAlignment="1">
      <alignment horizontal="center"/>
    </xf>
    <xf numFmtId="0" fontId="0" fillId="8" borderId="0" xfId="0" applyNumberFormat="1" applyFill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408518</xdr:colOff>
      <xdr:row>0</xdr:row>
      <xdr:rowOff>37041</xdr:rowOff>
    </xdr:from>
    <xdr:to>
      <xdr:col>22</xdr:col>
      <xdr:colOff>1</xdr:colOff>
      <xdr:row>5</xdr:row>
      <xdr:rowOff>10583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2101" y="37041"/>
          <a:ext cx="1739900" cy="1317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nfocos@snfocos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T72"/>
  <sheetViews>
    <sheetView windowProtection="1" tabSelected="1" zoomScale="80" zoomScaleNormal="80" workbookViewId="0">
      <selection activeCell="Q11" sqref="Q11"/>
    </sheetView>
  </sheetViews>
  <sheetFormatPr baseColWidth="10" defaultRowHeight="15" x14ac:dyDescent="0.25"/>
  <cols>
    <col min="1" max="1" width="10.42578125" customWidth="1"/>
    <col min="2" max="3" width="8.7109375" customWidth="1"/>
    <col min="4" max="4" width="21" customWidth="1"/>
    <col min="5" max="5" width="11" customWidth="1"/>
    <col min="6" max="6" width="15.85546875" customWidth="1"/>
    <col min="7" max="7" width="11.42578125" customWidth="1"/>
    <col min="8" max="9" width="10.7109375" customWidth="1"/>
    <col min="10" max="10" width="14.28515625" customWidth="1"/>
    <col min="11" max="11" width="2.7109375" style="18" customWidth="1"/>
    <col min="12" max="12" width="2.85546875" style="18" customWidth="1"/>
    <col min="13" max="13" width="11" customWidth="1"/>
    <col min="14" max="14" width="12.85546875" customWidth="1"/>
    <col min="16" max="16" width="14.85546875" customWidth="1"/>
    <col min="18" max="18" width="12.42578125" customWidth="1"/>
    <col min="19" max="21" width="6.28515625" customWidth="1"/>
    <col min="22" max="22" width="13.140625" customWidth="1"/>
    <col min="23" max="46" width="11.42578125" style="18"/>
  </cols>
  <sheetData>
    <row r="1" spans="1:22" s="33" customFormat="1" ht="22.5" x14ac:dyDescent="0.45">
      <c r="I1" s="56" t="s">
        <v>29</v>
      </c>
      <c r="J1" s="56"/>
      <c r="K1" s="56"/>
      <c r="L1" s="56"/>
      <c r="M1" s="56"/>
      <c r="N1" s="56"/>
      <c r="O1" s="56"/>
      <c r="P1" s="56"/>
      <c r="Q1" s="56"/>
    </row>
    <row r="2" spans="1:22" s="33" customFormat="1" ht="15.75" thickBot="1" x14ac:dyDescent="0.3"/>
    <row r="3" spans="1:22" s="28" customFormat="1" ht="24" thickTop="1" thickBot="1" x14ac:dyDescent="0.5">
      <c r="A3" s="59" t="s">
        <v>49</v>
      </c>
      <c r="B3" s="60"/>
      <c r="C3" s="60"/>
      <c r="D3" s="60"/>
      <c r="E3" s="60"/>
      <c r="F3" s="136"/>
      <c r="G3" s="58" t="s">
        <v>3</v>
      </c>
      <c r="H3" s="58"/>
      <c r="I3" s="58"/>
      <c r="J3" s="36">
        <v>7.2434200000000004</v>
      </c>
      <c r="M3" s="58" t="s">
        <v>0</v>
      </c>
      <c r="N3" s="70"/>
      <c r="O3" s="70"/>
      <c r="P3" s="38">
        <f>F3*J3</f>
        <v>0</v>
      </c>
      <c r="R3" s="34"/>
    </row>
    <row r="4" spans="1:22" s="134" customFormat="1" ht="24" customHeight="1" thickBot="1" x14ac:dyDescent="0.5">
      <c r="A4" s="135" t="s">
        <v>250</v>
      </c>
      <c r="B4" s="135"/>
      <c r="C4" s="135"/>
      <c r="D4" s="135"/>
      <c r="E4" s="135"/>
      <c r="F4" s="140" t="s">
        <v>240</v>
      </c>
      <c r="G4" s="141"/>
      <c r="H4" s="141"/>
      <c r="I4" s="141"/>
      <c r="J4" s="142"/>
    </row>
    <row r="5" spans="1:22" s="28" customFormat="1" ht="20.100000000000001" customHeight="1" thickBot="1" x14ac:dyDescent="0.3">
      <c r="A5" s="64" t="s">
        <v>47</v>
      </c>
      <c r="B5" s="65"/>
      <c r="C5" s="65"/>
      <c r="D5" s="65"/>
      <c r="E5" s="66"/>
      <c r="F5" s="137" t="s">
        <v>40</v>
      </c>
      <c r="G5" s="138"/>
      <c r="H5" s="138"/>
      <c r="I5" s="139"/>
      <c r="J5" s="29"/>
      <c r="N5" s="41"/>
      <c r="O5" s="42"/>
      <c r="P5" s="42"/>
      <c r="Q5" s="41"/>
      <c r="R5" s="43"/>
    </row>
    <row r="6" spans="1:22" s="28" customFormat="1" ht="20.100000000000001" customHeight="1" thickTop="1" thickBot="1" x14ac:dyDescent="0.3">
      <c r="A6" s="143" t="s">
        <v>251</v>
      </c>
      <c r="B6" s="143"/>
      <c r="C6" s="143"/>
      <c r="D6" s="143"/>
      <c r="E6" s="143"/>
      <c r="F6" s="61" t="str">
        <f>IF(COUNTIF(Feuil4!B2:B4,Feuil1!F4)&gt;0,"A",IF(COUNTIF(Feuil4!B5:B29,Feuil1!F4)&gt;0,"B",IF(COUNTIF(Feuil4!B30:B45,Feuil1!F4)&gt;0,"C",IF(COUNTIF(Feuil4!B46:B52,Feuil1!F4)&gt;0,"D",IF(COUNTIF(Feuil4!B53,Feuil1!F4)&gt;0,"E",IF(COUNTIF(Feuil4!B54:B55,Feuil1!F4)&gt;0,"F",IF(COUNTIF(Feuil4!B56:B57,Feuil1!F4)&gt;0,"G",IF(COUNTIF(Feuil4!B58,Feuil1!F4)&gt;0,"H"," "))))))))</f>
        <v xml:space="preserve"> </v>
      </c>
      <c r="G6" s="62"/>
      <c r="H6" s="62"/>
      <c r="I6" s="63"/>
      <c r="J6" s="149" t="str">
        <f>IF(F6="A",212,IF(F6="B",229,IF(F6="C",249,IF(F6="D",270,IF(F6="E",300,IF(F6="F",370,IF(F6="G",440,IF(F6="H",590," "))))))))</f>
        <v xml:space="preserve"> </v>
      </c>
      <c r="N6" s="41"/>
      <c r="O6" s="42"/>
      <c r="P6" s="42"/>
      <c r="Q6" s="41"/>
      <c r="R6" s="43"/>
    </row>
    <row r="7" spans="1:22" s="28" customFormat="1" ht="16.5" customHeight="1" thickTop="1" thickBot="1" x14ac:dyDescent="0.5">
      <c r="A7" s="31"/>
      <c r="B7" s="32"/>
      <c r="C7" s="32"/>
      <c r="D7" s="32"/>
      <c r="E7" s="32"/>
      <c r="F7" s="35"/>
      <c r="G7" s="30"/>
      <c r="H7" s="30"/>
      <c r="I7" s="30"/>
      <c r="J7" s="29"/>
      <c r="N7" s="41"/>
      <c r="O7" s="42"/>
      <c r="P7" s="42"/>
      <c r="Q7" s="43"/>
      <c r="R7" s="43"/>
    </row>
    <row r="8" spans="1:22" s="28" customFormat="1" ht="20.100000000000001" customHeight="1" thickTop="1" thickBot="1" x14ac:dyDescent="0.45">
      <c r="A8" s="67" t="s">
        <v>48</v>
      </c>
      <c r="B8" s="68"/>
      <c r="C8" s="68"/>
      <c r="D8" s="68"/>
      <c r="E8" s="69"/>
      <c r="F8" s="39" t="s">
        <v>27</v>
      </c>
      <c r="G8" s="30"/>
      <c r="H8" s="30"/>
      <c r="I8" s="30"/>
      <c r="J8" s="29"/>
      <c r="N8" s="44"/>
      <c r="O8" s="42"/>
      <c r="P8" s="42"/>
      <c r="Q8" s="43"/>
      <c r="R8" s="43"/>
      <c r="T8" s="57" t="s">
        <v>30</v>
      </c>
      <c r="U8" s="57"/>
      <c r="V8" s="57"/>
    </row>
    <row r="9" spans="1:22" s="33" customFormat="1" ht="20.100000000000001" customHeight="1" thickTop="1" x14ac:dyDescent="0.25">
      <c r="N9" s="44"/>
      <c r="O9" s="42"/>
      <c r="P9" s="42"/>
      <c r="Q9" s="45"/>
      <c r="R9" s="45"/>
    </row>
    <row r="10" spans="1:22" s="28" customFormat="1" ht="15" customHeight="1" thickBot="1" x14ac:dyDescent="0.3">
      <c r="A10" s="26" t="s">
        <v>31</v>
      </c>
      <c r="N10" s="54" t="s">
        <v>46</v>
      </c>
      <c r="O10" s="55"/>
      <c r="P10" s="55"/>
      <c r="R10" s="41"/>
    </row>
    <row r="11" spans="1:22" s="33" customFormat="1" ht="15" customHeight="1" thickTop="1" thickBot="1" x14ac:dyDescent="0.3">
      <c r="A11" s="26" t="s">
        <v>39</v>
      </c>
      <c r="N11" s="55"/>
      <c r="O11" s="55"/>
      <c r="P11" s="55"/>
      <c r="Q11" s="39" t="s">
        <v>45</v>
      </c>
      <c r="R11" s="45"/>
    </row>
    <row r="12" spans="1:22" s="33" customFormat="1" ht="15" customHeight="1" thickTop="1" x14ac:dyDescent="0.3">
      <c r="A12" s="26" t="s">
        <v>32</v>
      </c>
      <c r="F12" s="48"/>
      <c r="G12" s="52" t="s">
        <v>33</v>
      </c>
      <c r="H12" s="53" t="s">
        <v>34</v>
      </c>
      <c r="N12" s="49"/>
      <c r="O12" s="49"/>
      <c r="P12" s="49"/>
      <c r="T12" s="40"/>
      <c r="U12" s="40"/>
      <c r="V12" s="40"/>
    </row>
    <row r="13" spans="1:22" s="33" customFormat="1" ht="15" customHeight="1" x14ac:dyDescent="0.3">
      <c r="E13" s="127" t="s">
        <v>21</v>
      </c>
      <c r="F13" s="128"/>
      <c r="G13" s="51">
        <v>7</v>
      </c>
      <c r="H13" s="147">
        <v>12</v>
      </c>
      <c r="I13" s="124" t="s">
        <v>21</v>
      </c>
      <c r="T13" s="40"/>
      <c r="U13" s="40"/>
      <c r="V13" s="40"/>
    </row>
    <row r="14" spans="1:22" s="33" customFormat="1" ht="15" customHeight="1" x14ac:dyDescent="0.3">
      <c r="E14" s="127" t="s">
        <v>23</v>
      </c>
      <c r="F14" s="128"/>
      <c r="G14" s="51">
        <v>12</v>
      </c>
      <c r="H14" s="148"/>
      <c r="I14" s="125"/>
      <c r="T14" s="40"/>
      <c r="U14" s="40"/>
      <c r="V14" s="40"/>
    </row>
    <row r="15" spans="1:22" s="33" customFormat="1" ht="15" customHeight="1" x14ac:dyDescent="0.3">
      <c r="E15" s="127" t="s">
        <v>42</v>
      </c>
      <c r="F15" s="128"/>
      <c r="G15" s="51">
        <v>12</v>
      </c>
      <c r="H15" s="50">
        <v>15</v>
      </c>
      <c r="I15" s="124" t="s">
        <v>50</v>
      </c>
      <c r="T15" s="40"/>
      <c r="U15" s="40"/>
      <c r="V15" s="40"/>
    </row>
    <row r="16" spans="1:22" s="33" customFormat="1" ht="15" customHeight="1" x14ac:dyDescent="0.3">
      <c r="E16" s="127" t="s">
        <v>38</v>
      </c>
      <c r="F16" s="128"/>
      <c r="G16" s="51">
        <v>15</v>
      </c>
      <c r="H16" s="50">
        <v>18</v>
      </c>
      <c r="I16" s="125"/>
      <c r="T16" s="40"/>
      <c r="U16" s="40"/>
      <c r="V16" s="40"/>
    </row>
    <row r="17" spans="1:22" s="33" customFormat="1" ht="18.75" customHeight="1" thickBot="1" x14ac:dyDescent="0.35">
      <c r="T17" s="40"/>
      <c r="U17" s="40"/>
      <c r="V17" s="40"/>
    </row>
    <row r="18" spans="1:22" ht="30.75" customHeight="1" x14ac:dyDescent="0.25">
      <c r="A18" s="82" t="s">
        <v>6</v>
      </c>
      <c r="B18" s="83"/>
      <c r="C18" s="83"/>
      <c r="D18" s="83"/>
      <c r="E18" s="74" t="s">
        <v>17</v>
      </c>
      <c r="F18" s="75"/>
      <c r="G18" s="91" t="s">
        <v>28</v>
      </c>
      <c r="H18" s="92"/>
      <c r="I18" s="93"/>
      <c r="J18" s="71" t="str">
        <f>IF(F5="Sélectionner un statut dans la liste"," ",Feuil2!N16)</f>
        <v xml:space="preserve"> </v>
      </c>
      <c r="M18" s="100" t="s">
        <v>6</v>
      </c>
      <c r="N18" s="101"/>
      <c r="O18" s="102"/>
      <c r="P18" s="103"/>
      <c r="Q18" s="74" t="s">
        <v>19</v>
      </c>
      <c r="R18" s="75"/>
      <c r="S18" s="104" t="s">
        <v>15</v>
      </c>
      <c r="T18" s="104"/>
      <c r="U18" s="104"/>
      <c r="V18" s="71" t="str">
        <f>IF(F5="Sélectionner un statut dans la liste"," ",Feuil2!N36)</f>
        <v xml:space="preserve"> </v>
      </c>
    </row>
    <row r="19" spans="1:22" ht="59.25" customHeight="1" x14ac:dyDescent="0.25">
      <c r="A19" s="84" t="str">
        <f>IF($F$8="oui",Feuil3!Y18,Feuil3!Y17)</f>
        <v>Nouveau salaire brut mensuel au bout de 4 ans
 avec 2 points d'ancienneté par an 
et 1 attribution de points de compétence sur la période</v>
      </c>
      <c r="B19" s="85"/>
      <c r="C19" s="85"/>
      <c r="D19" s="85"/>
      <c r="E19" s="76" t="str">
        <f>IF(F5="Sélectionner un statut dans la liste"," ",Feuil2!$F$15)</f>
        <v xml:space="preserve"> </v>
      </c>
      <c r="F19" s="77"/>
      <c r="G19" s="94"/>
      <c r="H19" s="95"/>
      <c r="I19" s="96"/>
      <c r="J19" s="72"/>
      <c r="M19" s="84" t="s">
        <v>35</v>
      </c>
      <c r="N19" s="85"/>
      <c r="O19" s="85"/>
      <c r="P19" s="85"/>
      <c r="Q19" s="76" t="str">
        <f>IF(F5="Sélectionner un statut dans la liste"," ",Feuil2!F35)</f>
        <v xml:space="preserve"> </v>
      </c>
      <c r="R19" s="106"/>
      <c r="S19" s="105"/>
      <c r="T19" s="105"/>
      <c r="U19" s="105"/>
      <c r="V19" s="72"/>
    </row>
    <row r="20" spans="1:22" x14ac:dyDescent="0.25">
      <c r="A20" s="108"/>
      <c r="B20" s="109"/>
      <c r="C20" s="109"/>
      <c r="D20" s="109"/>
      <c r="E20" s="109"/>
      <c r="F20" s="109"/>
      <c r="G20" s="94"/>
      <c r="H20" s="95"/>
      <c r="I20" s="96"/>
      <c r="J20" s="72"/>
      <c r="M20" s="110"/>
      <c r="N20" s="111"/>
      <c r="O20" s="111"/>
      <c r="P20" s="111"/>
      <c r="Q20" s="111"/>
      <c r="R20" s="111"/>
      <c r="S20" s="105"/>
      <c r="T20" s="105"/>
      <c r="U20" s="105"/>
      <c r="V20" s="72"/>
    </row>
    <row r="21" spans="1:22" ht="29.25" customHeight="1" x14ac:dyDescent="0.25">
      <c r="A21" s="86" t="s">
        <v>13</v>
      </c>
      <c r="B21" s="87"/>
      <c r="C21" s="87"/>
      <c r="D21" s="88"/>
      <c r="E21" s="80" t="s">
        <v>17</v>
      </c>
      <c r="F21" s="81"/>
      <c r="G21" s="94"/>
      <c r="H21" s="95"/>
      <c r="I21" s="96"/>
      <c r="J21" s="72"/>
      <c r="M21" s="86" t="s">
        <v>13</v>
      </c>
      <c r="N21" s="87"/>
      <c r="O21" s="87"/>
      <c r="P21" s="88"/>
      <c r="Q21" s="80" t="s">
        <v>19</v>
      </c>
      <c r="R21" s="81"/>
      <c r="S21" s="105"/>
      <c r="T21" s="105"/>
      <c r="U21" s="105"/>
      <c r="V21" s="72"/>
    </row>
    <row r="22" spans="1:22" ht="50.25" customHeight="1" x14ac:dyDescent="0.25">
      <c r="A22" s="89" t="str">
        <f>IF(Q11="OUI"," ",IF(Q11="NON","Nouveau salaire brut mensuel au bout de 4 ans avec 0 point d'ancienneté par an et 1 attribution de points de compétence sur la période"))</f>
        <v>Nouveau salaire brut mensuel au bout de 4 ans avec 0 point d'ancienneté par an et 1 attribution de points de compétence sur la période</v>
      </c>
      <c r="B22" s="90"/>
      <c r="C22" s="90"/>
      <c r="D22" s="90"/>
      <c r="E22" s="78" t="str">
        <f>IF(Q11="OUI", " ",IF(F5="Sélectionner un statut dans la liste"," ",Feuil2!K15))</f>
        <v xml:space="preserve"> </v>
      </c>
      <c r="F22" s="79"/>
      <c r="G22" s="97"/>
      <c r="H22" s="98"/>
      <c r="I22" s="99"/>
      <c r="J22" s="73"/>
      <c r="M22" s="89" t="str">
        <f>IF(Q11="OUI"," ",IF(Q11="NON","Nouveau salaire brut mensuel au bout de 12 ans avec 0 point d'ancienneté par an et 3 attributions de points de compétence sur la période"))</f>
        <v>Nouveau salaire brut mensuel au bout de 12 ans avec 0 point d'ancienneté par an et 3 attributions de points de compétence sur la période</v>
      </c>
      <c r="N22" s="90"/>
      <c r="O22" s="90"/>
      <c r="P22" s="90"/>
      <c r="Q22" s="78" t="str">
        <f>IF(Q11="OUI", " ",IF(F5="Sélectionner un statut dans la liste"," ",Feuil2!K35))</f>
        <v xml:space="preserve"> </v>
      </c>
      <c r="R22" s="79"/>
      <c r="S22" s="105"/>
      <c r="T22" s="105"/>
      <c r="U22" s="105"/>
      <c r="V22" s="73"/>
    </row>
    <row r="23" spans="1:22" ht="50.25" customHeight="1" thickBot="1" x14ac:dyDescent="0.3">
      <c r="A23" s="112" t="str">
        <f>IF(Q11="NON"," ",IF(Q11="OUI","Nouveau salaire brut mensuel au bout de 4 ans avec 0 point d'ancienneté par an et 9 points de compétence"))</f>
        <v xml:space="preserve"> </v>
      </c>
      <c r="B23" s="113"/>
      <c r="C23" s="113"/>
      <c r="D23" s="114"/>
      <c r="E23" s="117" t="str">
        <f>IF(Q11="NON", " ",IF(F5="Sélectionner un statut dans la liste"," ",Feuil3!K15))</f>
        <v xml:space="preserve"> </v>
      </c>
      <c r="F23" s="118"/>
      <c r="G23" s="121" t="str">
        <f>IF(Q11="NON"," ",IF(Q11="OUI","Gain/Perte cumulée sur 4 ans"))</f>
        <v xml:space="preserve"> </v>
      </c>
      <c r="H23" s="122"/>
      <c r="I23" s="123"/>
      <c r="J23" s="25" t="str">
        <f>IF(Q11="NON", " ",IF(F5="Sélectionner un statut dans la liste"," ",Feuil3!N16))</f>
        <v xml:space="preserve"> </v>
      </c>
      <c r="M23" s="119" t="str">
        <f>IF(Q11="NON"," ",IF(Q11="OUI","Nouveau salaire brut mensuel au bout de 12 ans avec 0 point d'ancienneté par an et 3 fois 9 points de compétence sur la période"))</f>
        <v xml:space="preserve"> </v>
      </c>
      <c r="N23" s="120"/>
      <c r="O23" s="120"/>
      <c r="P23" s="120"/>
      <c r="Q23" s="117" t="str">
        <f>IF(Q11="NON", " ",IF(F5="Sélectionner un statut dans la liste"," ",Feuil3!K35))</f>
        <v xml:space="preserve"> </v>
      </c>
      <c r="R23" s="118"/>
      <c r="S23" s="115" t="str">
        <f>IF(Q11="NON"," ",IF(Q11="OUI","Gain/Perte cumulée sur 12 ans"))</f>
        <v xml:space="preserve"> </v>
      </c>
      <c r="T23" s="116"/>
      <c r="U23" s="116"/>
      <c r="V23" s="25" t="str">
        <f>IF(Q11="NON", " ",IF(F5="Sélectionner un statut dans la liste"," ",Feuil3!N36))</f>
        <v xml:space="preserve"> </v>
      </c>
    </row>
    <row r="24" spans="1:22" s="68" customFormat="1" x14ac:dyDescent="0.25"/>
    <row r="25" spans="1:22" s="68" customFormat="1" ht="15.75" thickBot="1" x14ac:dyDescent="0.3"/>
    <row r="26" spans="1:22" ht="31.5" customHeight="1" x14ac:dyDescent="0.25">
      <c r="A26" s="82" t="s">
        <v>6</v>
      </c>
      <c r="B26" s="83"/>
      <c r="C26" s="83"/>
      <c r="D26" s="83"/>
      <c r="E26" s="74" t="s">
        <v>18</v>
      </c>
      <c r="F26" s="75"/>
      <c r="G26" s="104" t="s">
        <v>14</v>
      </c>
      <c r="H26" s="104"/>
      <c r="I26" s="104"/>
      <c r="J26" s="71" t="str">
        <f>IF(F5="Sélectionner un statut dans la liste"," ",Feuil2!N26)</f>
        <v xml:space="preserve"> </v>
      </c>
      <c r="M26" s="100" t="s">
        <v>6</v>
      </c>
      <c r="N26" s="101"/>
      <c r="O26" s="102"/>
      <c r="P26" s="103"/>
      <c r="Q26" s="74" t="s">
        <v>20</v>
      </c>
      <c r="R26" s="75"/>
      <c r="S26" s="104" t="s">
        <v>16</v>
      </c>
      <c r="T26" s="104"/>
      <c r="U26" s="104"/>
      <c r="V26" s="71" t="str">
        <f>IF(F5="Sélectionner un statut dans la liste"," ",Feuil2!N46)</f>
        <v xml:space="preserve"> </v>
      </c>
    </row>
    <row r="27" spans="1:22" ht="47.25" customHeight="1" x14ac:dyDescent="0.25">
      <c r="A27" s="84" t="s">
        <v>36</v>
      </c>
      <c r="B27" s="85"/>
      <c r="C27" s="85"/>
      <c r="D27" s="85"/>
      <c r="E27" s="76" t="str">
        <f>IF(F5="Sélectionner un statut dans la liste"," ",Feuil2!F25)</f>
        <v xml:space="preserve"> </v>
      </c>
      <c r="F27" s="106"/>
      <c r="G27" s="105"/>
      <c r="H27" s="105"/>
      <c r="I27" s="105"/>
      <c r="J27" s="72"/>
      <c r="M27" s="84" t="s">
        <v>37</v>
      </c>
      <c r="N27" s="85"/>
      <c r="O27" s="85"/>
      <c r="P27" s="85"/>
      <c r="Q27" s="76" t="str">
        <f>IF(F5="Sélectionner un statut dans la liste"," ",Feuil2!F42)</f>
        <v xml:space="preserve"> </v>
      </c>
      <c r="R27" s="106"/>
      <c r="S27" s="105"/>
      <c r="T27" s="105"/>
      <c r="U27" s="105"/>
      <c r="V27" s="72"/>
    </row>
    <row r="28" spans="1:22" x14ac:dyDescent="0.25">
      <c r="A28" s="110"/>
      <c r="B28" s="111"/>
      <c r="C28" s="111"/>
      <c r="D28" s="111"/>
      <c r="E28" s="111"/>
      <c r="F28" s="111"/>
      <c r="G28" s="105"/>
      <c r="H28" s="105"/>
      <c r="I28" s="105"/>
      <c r="J28" s="72"/>
      <c r="M28" s="110"/>
      <c r="N28" s="111"/>
      <c r="O28" s="111"/>
      <c r="P28" s="111"/>
      <c r="Q28" s="111"/>
      <c r="R28" s="111"/>
      <c r="S28" s="105"/>
      <c r="T28" s="105"/>
      <c r="U28" s="105"/>
      <c r="V28" s="72"/>
    </row>
    <row r="29" spans="1:22" ht="28.5" customHeight="1" x14ac:dyDescent="0.25">
      <c r="A29" s="86" t="s">
        <v>13</v>
      </c>
      <c r="B29" s="87"/>
      <c r="C29" s="87"/>
      <c r="D29" s="88"/>
      <c r="E29" s="80" t="s">
        <v>18</v>
      </c>
      <c r="F29" s="81"/>
      <c r="G29" s="105"/>
      <c r="H29" s="105"/>
      <c r="I29" s="105"/>
      <c r="J29" s="72"/>
      <c r="M29" s="86" t="s">
        <v>13</v>
      </c>
      <c r="N29" s="87"/>
      <c r="O29" s="87"/>
      <c r="P29" s="88"/>
      <c r="Q29" s="80" t="s">
        <v>20</v>
      </c>
      <c r="R29" s="81"/>
      <c r="S29" s="105"/>
      <c r="T29" s="105"/>
      <c r="U29" s="105"/>
      <c r="V29" s="72"/>
    </row>
    <row r="30" spans="1:22" ht="55.5" customHeight="1" x14ac:dyDescent="0.25">
      <c r="A30" s="89" t="str">
        <f>IF(Q11="OUI"," ",IF(Q11="NON","Nouveau salaire brut mensuel au bout de 8 ans avec 0 point d'ancienneté par an et 2 attributions de points de compétence sur la période"))</f>
        <v>Nouveau salaire brut mensuel au bout de 8 ans avec 0 point d'ancienneté par an et 2 attributions de points de compétence sur la période</v>
      </c>
      <c r="B30" s="90"/>
      <c r="C30" s="90"/>
      <c r="D30" s="90"/>
      <c r="E30" s="78" t="str">
        <f>IF(Q11="OUI", " ",IF(F5="Sélectionner un statut dans la liste"," ",Feuil2!K25))</f>
        <v xml:space="preserve"> </v>
      </c>
      <c r="F30" s="79"/>
      <c r="G30" s="105"/>
      <c r="H30" s="105"/>
      <c r="I30" s="105"/>
      <c r="J30" s="73"/>
      <c r="M30" s="89" t="str">
        <f>IF(Q11="OUI"," ",IF(Q11="NON","Nouveau salaire brut mensuel au bout de 16 ans avec 0 point d'ancienneté par an et 4 attributions de points de compétence sur la période"))</f>
        <v>Nouveau salaire brut mensuel au bout de 16 ans avec 0 point d'ancienneté par an et 4 attributions de points de compétence sur la période</v>
      </c>
      <c r="N30" s="90"/>
      <c r="O30" s="90"/>
      <c r="P30" s="90"/>
      <c r="Q30" s="78" t="str">
        <f>IF(Q11="OUI", " ",IF(F5="Sélectionner un statut dans la liste"," ",Feuil2!K42))</f>
        <v xml:space="preserve"> </v>
      </c>
      <c r="R30" s="79"/>
      <c r="S30" s="105"/>
      <c r="T30" s="105"/>
      <c r="U30" s="105"/>
      <c r="V30" s="73"/>
    </row>
    <row r="31" spans="1:22" ht="51.75" customHeight="1" thickBot="1" x14ac:dyDescent="0.3">
      <c r="A31" s="119" t="str">
        <f>IF(Q11="NON"," ",IF(Q11="OUI","Nouveau salaire brut mensuel au bout de 8 ans avec 0 point d'ancienneté par an  et 2 fois 9 points de compétence sur la période"))</f>
        <v xml:space="preserve"> </v>
      </c>
      <c r="B31" s="120"/>
      <c r="C31" s="120"/>
      <c r="D31" s="120"/>
      <c r="E31" s="117" t="str">
        <f>IF(Q11="NON", " ",IF(F5="Sélectionner un statut dans la liste"," ",Feuil3!K25))</f>
        <v xml:space="preserve"> </v>
      </c>
      <c r="F31" s="118"/>
      <c r="G31" s="115" t="str">
        <f>IF(Q11="NON"," ",IF(Q11="OUI","Gain/Perte cumulée sur 8 ans"))</f>
        <v xml:space="preserve"> </v>
      </c>
      <c r="H31" s="116"/>
      <c r="I31" s="116"/>
      <c r="J31" s="25" t="str">
        <f>IF(Q11="NON", " ",IF(F5="Sélectionner un statut dans la liste"," ",Feuil3!N26))</f>
        <v xml:space="preserve"> </v>
      </c>
      <c r="M31" s="119" t="str">
        <f>IF(Q11="NON"," ",IF(Q11="OUI","Nouveau salaire brut mensuel au bout de 16 ans avec 0 point d'ancienneté par an  et 4 attributions de points de compétence sur la période"))</f>
        <v xml:space="preserve"> </v>
      </c>
      <c r="N31" s="120"/>
      <c r="O31" s="120"/>
      <c r="P31" s="120"/>
      <c r="Q31" s="117" t="str">
        <f>IF(Q11="NON", " ",IF(F5="Sélectionner un statut dans la liste"," ",Feuil3!K45))</f>
        <v xml:space="preserve"> </v>
      </c>
      <c r="R31" s="118"/>
      <c r="S31" s="115" t="str">
        <f>IF(Q11="NON"," ",IF(Q11="OUI","Gain/Perte cumulée sur 16 ans"))</f>
        <v xml:space="preserve"> </v>
      </c>
      <c r="T31" s="116"/>
      <c r="U31" s="116"/>
      <c r="V31" s="25" t="str">
        <f>IF(Q11="NON", " ",IF(F5="Sélectionner un statut dans la liste"," ",Feuil3!N46))</f>
        <v xml:space="preserve"> </v>
      </c>
    </row>
    <row r="32" spans="1:22" s="18" customFormat="1" x14ac:dyDescent="0.25"/>
    <row r="33" spans="1:22" s="18" customFormat="1" ht="23.25" x14ac:dyDescent="0.35">
      <c r="A33" s="47" t="s">
        <v>41</v>
      </c>
      <c r="B33" s="126" t="s">
        <v>51</v>
      </c>
      <c r="C33" s="126"/>
      <c r="D33" s="126"/>
      <c r="E33" s="126"/>
      <c r="F33" s="126"/>
      <c r="G33" s="126"/>
      <c r="H33" s="126"/>
      <c r="I33" s="126"/>
      <c r="J33" s="126"/>
      <c r="K33" s="126"/>
    </row>
    <row r="34" spans="1:22" s="28" customFormat="1" ht="21" x14ac:dyDescent="0.35">
      <c r="A34" s="37"/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1:22" s="18" customFormat="1" ht="46.5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18" customFormat="1" ht="15.75" x14ac:dyDescent="0.25">
      <c r="A36" s="26"/>
      <c r="B36" s="26"/>
      <c r="C36" s="26"/>
      <c r="D36" s="26"/>
      <c r="E36" s="26"/>
      <c r="F36" s="26"/>
      <c r="G36" s="46"/>
      <c r="H36" s="46"/>
      <c r="I36" s="46"/>
      <c r="J36" s="46"/>
      <c r="K36" s="46"/>
      <c r="L36" s="46"/>
      <c r="M36" s="46"/>
      <c r="N36" s="43"/>
      <c r="O36" s="20"/>
      <c r="P36" s="20"/>
      <c r="Q36" s="20"/>
      <c r="R36" s="20"/>
      <c r="S36" s="20"/>
      <c r="T36" s="20"/>
      <c r="U36" s="20"/>
      <c r="V36" s="20"/>
    </row>
    <row r="37" spans="1:22" s="18" customFormat="1" ht="15.75" x14ac:dyDescent="0.25">
      <c r="A37" s="26"/>
      <c r="B37" s="26"/>
      <c r="C37" s="26"/>
      <c r="D37" s="26"/>
      <c r="E37" s="26"/>
      <c r="F37" s="26"/>
      <c r="G37" s="44"/>
      <c r="H37" s="42"/>
      <c r="I37" s="42"/>
      <c r="J37" s="46"/>
      <c r="K37" s="46"/>
      <c r="L37" s="46"/>
      <c r="M37" s="46"/>
      <c r="N37" s="43"/>
      <c r="O37" s="20"/>
      <c r="P37" s="20"/>
      <c r="Q37" s="20"/>
      <c r="R37" s="20"/>
      <c r="S37" s="20"/>
      <c r="T37" s="20"/>
      <c r="U37" s="20"/>
      <c r="V37" s="20"/>
    </row>
    <row r="38" spans="1:22" s="18" customFormat="1" ht="18.75" customHeight="1" x14ac:dyDescent="0.25">
      <c r="A38" s="26"/>
      <c r="B38" s="26"/>
      <c r="C38" s="26"/>
      <c r="D38" s="26"/>
      <c r="E38" s="26"/>
      <c r="F38" s="26"/>
      <c r="G38" s="44"/>
      <c r="H38" s="42"/>
      <c r="I38" s="42"/>
      <c r="J38" s="46"/>
      <c r="K38" s="46"/>
      <c r="L38" s="46"/>
      <c r="M38" s="46"/>
      <c r="N38" s="43"/>
      <c r="O38" s="20"/>
      <c r="P38" s="20"/>
      <c r="Q38" s="20"/>
      <c r="R38" s="20"/>
      <c r="S38" s="20"/>
      <c r="T38" s="20"/>
      <c r="U38" s="20"/>
      <c r="V38" s="20"/>
    </row>
    <row r="39" spans="1:22" s="18" customFormat="1" ht="15.75" x14ac:dyDescent="0.25">
      <c r="A39" s="26"/>
      <c r="B39" s="26"/>
      <c r="C39" s="26"/>
      <c r="D39" s="26"/>
      <c r="E39" s="26"/>
      <c r="F39" s="26"/>
      <c r="G39" s="44"/>
      <c r="H39" s="42"/>
      <c r="I39" s="42"/>
      <c r="J39" s="46"/>
      <c r="K39" s="46"/>
      <c r="L39" s="46"/>
      <c r="M39" s="46"/>
      <c r="N39" s="43"/>
      <c r="O39" s="20"/>
      <c r="P39" s="20"/>
      <c r="Q39" s="20"/>
      <c r="R39" s="20"/>
      <c r="S39" s="20"/>
      <c r="T39" s="20"/>
      <c r="U39" s="20"/>
      <c r="V39" s="20"/>
    </row>
    <row r="40" spans="1:22" s="18" customFormat="1" ht="15.75" x14ac:dyDescent="0.25">
      <c r="A40" s="27"/>
      <c r="B40" s="27"/>
      <c r="C40" s="27"/>
      <c r="D40" s="27"/>
      <c r="E40" s="27"/>
      <c r="F40" s="27"/>
      <c r="G40" s="44"/>
      <c r="H40" s="42"/>
      <c r="I40" s="42"/>
      <c r="J40" s="44"/>
      <c r="K40" s="44"/>
      <c r="L40" s="44"/>
      <c r="M40" s="44"/>
      <c r="N40" s="41"/>
    </row>
    <row r="41" spans="1:22" s="18" customFormat="1" ht="15.75" x14ac:dyDescent="0.25">
      <c r="A41" s="27"/>
      <c r="B41" s="27"/>
      <c r="C41" s="27"/>
      <c r="D41" s="27"/>
      <c r="E41" s="27"/>
      <c r="F41" s="27"/>
      <c r="G41" s="44"/>
      <c r="H41" s="42"/>
      <c r="I41" s="42"/>
      <c r="J41" s="44"/>
      <c r="K41" s="44"/>
      <c r="L41" s="44"/>
      <c r="M41" s="44"/>
      <c r="N41" s="41"/>
    </row>
    <row r="42" spans="1:22" s="18" customFormat="1" ht="15.75" x14ac:dyDescent="0.25">
      <c r="A42" s="27"/>
      <c r="B42" s="27"/>
      <c r="C42" s="27"/>
      <c r="D42" s="27"/>
      <c r="E42" s="27"/>
      <c r="F42" s="27"/>
      <c r="G42" s="44"/>
      <c r="H42" s="44"/>
      <c r="I42" s="44"/>
      <c r="J42" s="44"/>
      <c r="K42" s="44"/>
      <c r="L42" s="44"/>
      <c r="M42" s="44"/>
      <c r="N42" s="41"/>
    </row>
    <row r="43" spans="1:22" s="18" customFormat="1" x14ac:dyDescent="0.25">
      <c r="E43" s="28"/>
      <c r="F43" s="28"/>
      <c r="G43" s="41"/>
      <c r="H43" s="41"/>
      <c r="I43" s="41"/>
      <c r="J43" s="41"/>
      <c r="K43" s="41"/>
      <c r="L43" s="41"/>
      <c r="M43" s="41"/>
      <c r="N43" s="41"/>
    </row>
    <row r="44" spans="1:22" s="18" customFormat="1" x14ac:dyDescent="0.25">
      <c r="E44" s="28"/>
      <c r="F44" s="28"/>
      <c r="G44" s="41"/>
      <c r="H44" s="41"/>
      <c r="I44" s="41"/>
      <c r="J44" s="41"/>
      <c r="K44" s="41"/>
      <c r="L44" s="41"/>
      <c r="M44" s="41"/>
      <c r="N44" s="41"/>
    </row>
    <row r="45" spans="1:22" s="18" customFormat="1" x14ac:dyDescent="0.25">
      <c r="E45" s="28"/>
      <c r="F45" s="28"/>
      <c r="G45" s="41"/>
      <c r="H45" s="41"/>
      <c r="I45" s="41"/>
      <c r="J45" s="41"/>
      <c r="K45" s="41"/>
      <c r="L45" s="41"/>
      <c r="M45" s="41"/>
      <c r="N45" s="41"/>
    </row>
    <row r="46" spans="1:22" s="18" customFormat="1" x14ac:dyDescent="0.25">
      <c r="E46" s="28"/>
      <c r="F46" s="28"/>
      <c r="G46" s="41"/>
      <c r="H46" s="41"/>
      <c r="I46" s="41"/>
      <c r="J46" s="41"/>
      <c r="K46" s="41"/>
      <c r="L46" s="41"/>
      <c r="M46" s="41"/>
      <c r="N46" s="41"/>
    </row>
    <row r="47" spans="1:22" s="18" customFormat="1" x14ac:dyDescent="0.25"/>
    <row r="48" spans="1:22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</sheetData>
  <sheetProtection algorithmName="SHA-512" hashValue="7Xdl+lnPOv90DVxbg5IcLuqjyWkKdNwSIYGmw3ybiLJeE6WAm8gMfVTtgj9ON5CaePk57mhuuXVVdTZvvfGqWQ==" saltValue="2IRmxBKOx2FWsbOe12siFA==" spinCount="100000" sheet="1" selectLockedCells="1"/>
  <mergeCells count="79">
    <mergeCell ref="H13:H14"/>
    <mergeCell ref="I13:I14"/>
    <mergeCell ref="I15:I16"/>
    <mergeCell ref="B33:K33"/>
    <mergeCell ref="E13:F13"/>
    <mergeCell ref="E14:F14"/>
    <mergeCell ref="E15:F15"/>
    <mergeCell ref="E16:F16"/>
    <mergeCell ref="E23:F23"/>
    <mergeCell ref="A31:D31"/>
    <mergeCell ref="E31:F31"/>
    <mergeCell ref="A26:D26"/>
    <mergeCell ref="A27:D27"/>
    <mergeCell ref="A29:D29"/>
    <mergeCell ref="A30:D30"/>
    <mergeCell ref="E26:F26"/>
    <mergeCell ref="E27:F27"/>
    <mergeCell ref="E30:F30"/>
    <mergeCell ref="E29:F29"/>
    <mergeCell ref="Q31:R31"/>
    <mergeCell ref="G23:I23"/>
    <mergeCell ref="G31:I31"/>
    <mergeCell ref="G26:I30"/>
    <mergeCell ref="J26:J30"/>
    <mergeCell ref="S23:U23"/>
    <mergeCell ref="S31:U31"/>
    <mergeCell ref="Q30:R30"/>
    <mergeCell ref="Q23:R23"/>
    <mergeCell ref="M23:P23"/>
    <mergeCell ref="M31:P31"/>
    <mergeCell ref="B34:K34"/>
    <mergeCell ref="A20:F20"/>
    <mergeCell ref="A28:F28"/>
    <mergeCell ref="M28:R28"/>
    <mergeCell ref="M20:R20"/>
    <mergeCell ref="A24:XFD25"/>
    <mergeCell ref="M26:P26"/>
    <mergeCell ref="S26:U30"/>
    <mergeCell ref="V26:V30"/>
    <mergeCell ref="M27:P27"/>
    <mergeCell ref="M29:P29"/>
    <mergeCell ref="M30:P30"/>
    <mergeCell ref="Q26:R26"/>
    <mergeCell ref="Q27:R27"/>
    <mergeCell ref="Q29:R29"/>
    <mergeCell ref="A23:D23"/>
    <mergeCell ref="M18:P18"/>
    <mergeCell ref="S18:U22"/>
    <mergeCell ref="V18:V22"/>
    <mergeCell ref="M19:P19"/>
    <mergeCell ref="M21:P21"/>
    <mergeCell ref="M22:P22"/>
    <mergeCell ref="Q18:R18"/>
    <mergeCell ref="Q19:R19"/>
    <mergeCell ref="Q22:R22"/>
    <mergeCell ref="Q21:R21"/>
    <mergeCell ref="A18:D18"/>
    <mergeCell ref="A19:D19"/>
    <mergeCell ref="A21:D21"/>
    <mergeCell ref="A22:D22"/>
    <mergeCell ref="G18:I22"/>
    <mergeCell ref="J18:J22"/>
    <mergeCell ref="E18:F18"/>
    <mergeCell ref="E19:F19"/>
    <mergeCell ref="E22:F22"/>
    <mergeCell ref="E21:F21"/>
    <mergeCell ref="N10:P11"/>
    <mergeCell ref="I1:Q1"/>
    <mergeCell ref="T8:V8"/>
    <mergeCell ref="G3:I3"/>
    <mergeCell ref="A3:E3"/>
    <mergeCell ref="F5:I5"/>
    <mergeCell ref="A5:E5"/>
    <mergeCell ref="A8:E8"/>
    <mergeCell ref="M3:O3"/>
    <mergeCell ref="F4:J4"/>
    <mergeCell ref="A4:E4"/>
    <mergeCell ref="A6:E6"/>
    <mergeCell ref="F6:I6"/>
  </mergeCells>
  <hyperlinks>
    <hyperlink ref="B33:K33" r:id="rId1" display="snfocos@snfocos.fr" xr:uid="{00000000-0004-0000-0000-000000000000}"/>
  </hyperlinks>
  <pageMargins left="0.7" right="0.7" top="0.75" bottom="0.75" header="0.3" footer="0.3"/>
  <pageSetup paperSize="9"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Feuil3!$X$17:$X$18</xm:f>
          </x14:formula1>
          <xm:sqref>F8</xm:sqref>
        </x14:dataValidation>
        <x14:dataValidation type="list" allowBlank="1" showInputMessage="1" showErrorMessage="1" xr:uid="{00000000-0002-0000-0000-000001000000}">
          <x14:formula1>
            <xm:f>Feuil2!$V$10:$V$14</xm:f>
          </x14:formula1>
          <xm:sqref>G5:H5 F5</xm:sqref>
        </x14:dataValidation>
        <x14:dataValidation type="list" allowBlank="1" showInputMessage="1" showErrorMessage="1" xr:uid="{00000000-0002-0000-0000-000002000000}">
          <x14:formula1>
            <xm:f>Feuil2!$X$21:$X$22</xm:f>
          </x14:formula1>
          <xm:sqref>Q11</xm:sqref>
        </x14:dataValidation>
        <x14:dataValidation type="list" allowBlank="1" showInputMessage="1" showErrorMessage="1" xr:uid="{80DF840A-0028-4806-B5CF-CB99D4AB4484}">
          <x14:formula1>
            <xm:f>Feuil4!$B$1:$B$58</xm:f>
          </x14:formula1>
          <xm:sqref>F4:J4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1:X46"/>
  <sheetViews>
    <sheetView windowProtection="1" topLeftCell="A8" zoomScale="80" zoomScaleNormal="80" workbookViewId="0">
      <selection activeCell="I15" sqref="I15"/>
    </sheetView>
  </sheetViews>
  <sheetFormatPr baseColWidth="10" defaultRowHeight="15" x14ac:dyDescent="0.25"/>
  <sheetData>
    <row r="1" spans="2:24" hidden="1" x14ac:dyDescent="0.25"/>
    <row r="2" spans="2:24" hidden="1" x14ac:dyDescent="0.25"/>
    <row r="3" spans="2:24" hidden="1" x14ac:dyDescent="0.25"/>
    <row r="4" spans="2:24" hidden="1" x14ac:dyDescent="0.25"/>
    <row r="5" spans="2:24" hidden="1" x14ac:dyDescent="0.25"/>
    <row r="6" spans="2:24" hidden="1" x14ac:dyDescent="0.25"/>
    <row r="7" spans="2:24" hidden="1" x14ac:dyDescent="0.25"/>
    <row r="8" spans="2:24" ht="15.75" thickBot="1" x14ac:dyDescent="0.3"/>
    <row r="9" spans="2:24" ht="15.75" thickBot="1" x14ac:dyDescent="0.3">
      <c r="C9" s="129" t="s">
        <v>6</v>
      </c>
      <c r="D9" s="130"/>
      <c r="E9" s="130"/>
      <c r="F9" s="131"/>
      <c r="H9" s="129" t="s">
        <v>7</v>
      </c>
      <c r="I9" s="130"/>
      <c r="J9" s="130"/>
      <c r="K9" s="131"/>
    </row>
    <row r="10" spans="2:24" ht="45" x14ac:dyDescent="0.25">
      <c r="B10" s="1"/>
      <c r="C10" s="5" t="s">
        <v>1</v>
      </c>
      <c r="D10" s="2" t="s">
        <v>11</v>
      </c>
      <c r="E10" s="2" t="s">
        <v>10</v>
      </c>
      <c r="F10" s="6" t="s">
        <v>8</v>
      </c>
      <c r="G10" s="12"/>
      <c r="H10" s="5" t="s">
        <v>1</v>
      </c>
      <c r="I10" s="2" t="s">
        <v>11</v>
      </c>
      <c r="J10" s="2" t="s">
        <v>2</v>
      </c>
      <c r="K10" s="6" t="s">
        <v>8</v>
      </c>
      <c r="L10" s="12"/>
      <c r="M10" s="14" t="s">
        <v>5</v>
      </c>
      <c r="N10" s="15" t="s">
        <v>9</v>
      </c>
      <c r="V10" t="s">
        <v>40</v>
      </c>
    </row>
    <row r="11" spans="2:24" x14ac:dyDescent="0.25">
      <c r="C11" s="7">
        <v>2019</v>
      </c>
      <c r="D11" s="3"/>
      <c r="E11" s="3">
        <f>Feuil1!F3</f>
        <v>0</v>
      </c>
      <c r="F11" s="8">
        <f>Feuil1!F3*Feuil1!J3</f>
        <v>0</v>
      </c>
      <c r="G11" s="13"/>
      <c r="H11" s="7">
        <v>2019</v>
      </c>
      <c r="I11" s="3"/>
      <c r="J11" s="3" t="str">
        <f>IF(Feuil1!$J$6&gt;Feuil1!$F$3,Feuil1!$J$6,Feuil1!$F$3)</f>
        <v xml:space="preserve"> </v>
      </c>
      <c r="K11" s="8" t="e">
        <f>J11*Feuil1!J3</f>
        <v>#VALUE!</v>
      </c>
      <c r="L11" s="13"/>
      <c r="M11" s="16" t="e">
        <f>K11-F11</f>
        <v>#VALUE!</v>
      </c>
      <c r="N11" s="8">
        <v>0</v>
      </c>
      <c r="V11" t="s">
        <v>21</v>
      </c>
      <c r="W11">
        <v>7</v>
      </c>
      <c r="X11">
        <v>12</v>
      </c>
    </row>
    <row r="12" spans="2:24" x14ac:dyDescent="0.25">
      <c r="C12" s="7">
        <v>2020</v>
      </c>
      <c r="D12" s="4">
        <f>IF(Feuil1!$F$8="oui",0,2)</f>
        <v>2</v>
      </c>
      <c r="E12" s="3">
        <f>E11+D12</f>
        <v>2</v>
      </c>
      <c r="F12" s="8">
        <f>E12*Feuil1!J3</f>
        <v>14.486840000000001</v>
      </c>
      <c r="G12" s="13"/>
      <c r="H12" s="7">
        <v>2020</v>
      </c>
      <c r="I12" s="4">
        <v>0</v>
      </c>
      <c r="J12" s="3" t="str">
        <f>IF(Feuil1!$J$6&gt;Feuil1!$F$3,Feuil1!$J$6,Feuil1!$F$3)</f>
        <v xml:space="preserve"> </v>
      </c>
      <c r="K12" s="8" t="e">
        <f>K11</f>
        <v>#VALUE!</v>
      </c>
      <c r="L12" s="13"/>
      <c r="M12" s="16" t="e">
        <f t="shared" ref="M12:M15" si="0">K12-F12</f>
        <v>#VALUE!</v>
      </c>
      <c r="N12" s="8" t="e">
        <f t="shared" ref="N12:N15" si="1">M12*14</f>
        <v>#VALUE!</v>
      </c>
      <c r="O12" t="e">
        <f>IF(Feuil1!$J$6&gt;Feuil1!$F$3,(Feuil1!$J$6-Feuil1!$F$3)*Feuil1!$J$3*14,0)</f>
        <v>#VALUE!</v>
      </c>
      <c r="V12" t="s">
        <v>23</v>
      </c>
      <c r="W12">
        <v>12</v>
      </c>
      <c r="X12">
        <v>12</v>
      </c>
    </row>
    <row r="13" spans="2:24" x14ac:dyDescent="0.25">
      <c r="C13" s="7">
        <v>2021</v>
      </c>
      <c r="D13" s="4">
        <f>IF(Feuil1!$F$8="oui",0,2)</f>
        <v>2</v>
      </c>
      <c r="E13" s="3">
        <f t="shared" ref="E13:E15" si="2">E12+D13</f>
        <v>4</v>
      </c>
      <c r="F13" s="8">
        <f>E13*Feuil1!J3</f>
        <v>28.973680000000002</v>
      </c>
      <c r="G13" s="13"/>
      <c r="H13" s="7">
        <v>2021</v>
      </c>
      <c r="I13" s="4">
        <v>0</v>
      </c>
      <c r="J13" s="3" t="str">
        <f>IF(Feuil1!$J$6&gt;Feuil1!$F$3,Feuil1!$J$6,Feuil1!$F$3)</f>
        <v xml:space="preserve"> </v>
      </c>
      <c r="K13" s="8" t="e">
        <f t="shared" ref="K13:K14" si="3">K12</f>
        <v>#VALUE!</v>
      </c>
      <c r="L13" s="13"/>
      <c r="M13" s="16" t="e">
        <f t="shared" si="0"/>
        <v>#VALUE!</v>
      </c>
      <c r="N13" s="8" t="e">
        <f t="shared" si="1"/>
        <v>#VALUE!</v>
      </c>
      <c r="O13" t="e">
        <f>IF(Feuil1!$J$6&gt;Feuil1!$F$3,(Feuil1!$J$6-Feuil1!$F$3)*Feuil1!$J$3*14,0)</f>
        <v>#VALUE!</v>
      </c>
      <c r="V13" t="s">
        <v>24</v>
      </c>
      <c r="W13">
        <v>12</v>
      </c>
      <c r="X13">
        <v>15</v>
      </c>
    </row>
    <row r="14" spans="2:24" x14ac:dyDescent="0.25">
      <c r="C14" s="7">
        <v>2022</v>
      </c>
      <c r="D14" s="4">
        <f>IF(Feuil1!$F$8="oui",0,2)</f>
        <v>2</v>
      </c>
      <c r="E14" s="3">
        <f t="shared" si="2"/>
        <v>6</v>
      </c>
      <c r="F14" s="8">
        <f>E14*Feuil1!J3</f>
        <v>43.460520000000002</v>
      </c>
      <c r="G14" s="13"/>
      <c r="H14" s="7">
        <v>2022</v>
      </c>
      <c r="I14" s="4">
        <v>0</v>
      </c>
      <c r="J14" s="3" t="str">
        <f>IF(Feuil1!$J$6&gt;Feuil1!$F$3,Feuil1!$J$6,Feuil1!$F$3)</f>
        <v xml:space="preserve"> </v>
      </c>
      <c r="K14" s="8" t="e">
        <f t="shared" si="3"/>
        <v>#VALUE!</v>
      </c>
      <c r="L14" s="13"/>
      <c r="M14" s="16" t="e">
        <f t="shared" si="0"/>
        <v>#VALUE!</v>
      </c>
      <c r="N14" s="8" t="e">
        <f t="shared" si="1"/>
        <v>#VALUE!</v>
      </c>
      <c r="O14" t="e">
        <f>IF(Feuil1!$J$6&gt;Feuil1!$F$3,(Feuil1!$J$6-Feuil1!$F$3)*Feuil1!$J$3*14,0)</f>
        <v>#VALUE!</v>
      </c>
      <c r="V14" t="s">
        <v>38</v>
      </c>
      <c r="W14">
        <v>15</v>
      </c>
      <c r="X14">
        <v>18</v>
      </c>
    </row>
    <row r="15" spans="2:24" ht="15.75" thickBot="1" x14ac:dyDescent="0.3">
      <c r="B15" t="s">
        <v>4</v>
      </c>
      <c r="C15" s="9">
        <v>2023</v>
      </c>
      <c r="D15" s="22">
        <f>IF(Feuil1!$F$8="oui",0,2)+IF(Feuil1!$F$5="Employé",7,IF(Feuil1!$F$5="Cadre 5",12,IF(Feuil1!$F$5="Cadre 6+7",12,15)))</f>
        <v>17</v>
      </c>
      <c r="E15" s="23">
        <f t="shared" si="2"/>
        <v>23</v>
      </c>
      <c r="F15" s="8">
        <f>E15*Feuil1!J3</f>
        <v>166.59866</v>
      </c>
      <c r="G15" s="13"/>
      <c r="H15" s="9">
        <v>2023</v>
      </c>
      <c r="I15" s="21">
        <f>IF(Feuil1!$F$6="A",12,IF(Feuil1!$F$6="B",12,IF(Feuil1!$F$6="C",12,IF(Feuil1!$F$6="D",12,IF(Feuil1!$F$6="E",15,IF(Feuil1!$F$6="F",15,IF(Feuil1!$F$6="G",18,IF(Feuil1!$F$6="H",18,))))))))</f>
        <v>0</v>
      </c>
      <c r="J15" s="23" t="e">
        <f t="shared" ref="J13:J15" si="4">J14+I15</f>
        <v>#VALUE!</v>
      </c>
      <c r="K15" s="11" t="e">
        <f>J15*Feuil1!J3</f>
        <v>#VALUE!</v>
      </c>
      <c r="L15" s="13"/>
      <c r="M15" s="16" t="e">
        <f t="shared" si="0"/>
        <v>#VALUE!</v>
      </c>
      <c r="N15" s="11" t="e">
        <f t="shared" si="1"/>
        <v>#VALUE!</v>
      </c>
      <c r="O15" t="e">
        <f>IF(Feuil1!$J$6&gt;Feuil1!$F$3,(Feuil1!$J$6-Feuil1!$F$3)*Feuil1!$J$3*14,0)</f>
        <v>#VALUE!</v>
      </c>
    </row>
    <row r="16" spans="2:24" ht="15.75" thickBot="1" x14ac:dyDescent="0.3">
      <c r="N16" s="17" t="e">
        <f>SUM(N12:N15)+O16</f>
        <v>#VALUE!</v>
      </c>
      <c r="O16">
        <v>0</v>
      </c>
    </row>
    <row r="18" spans="3:24" ht="15.75" thickBot="1" x14ac:dyDescent="0.3"/>
    <row r="19" spans="3:24" ht="15.75" thickBot="1" x14ac:dyDescent="0.3">
      <c r="C19" s="129" t="s">
        <v>6</v>
      </c>
      <c r="D19" s="130"/>
      <c r="E19" s="130"/>
      <c r="F19" s="131"/>
      <c r="H19" s="129" t="s">
        <v>7</v>
      </c>
      <c r="I19" s="130"/>
      <c r="J19" s="130"/>
      <c r="K19" s="131"/>
    </row>
    <row r="20" spans="3:24" ht="45" x14ac:dyDescent="0.25">
      <c r="C20" s="5" t="s">
        <v>1</v>
      </c>
      <c r="D20" s="2" t="s">
        <v>11</v>
      </c>
      <c r="E20" s="2" t="s">
        <v>10</v>
      </c>
      <c r="F20" s="6" t="s">
        <v>8</v>
      </c>
      <c r="G20" s="12"/>
      <c r="H20" s="5" t="s">
        <v>1</v>
      </c>
      <c r="I20" s="2" t="s">
        <v>11</v>
      </c>
      <c r="J20" s="2" t="s">
        <v>2</v>
      </c>
      <c r="K20" s="6" t="s">
        <v>8</v>
      </c>
      <c r="L20" s="12"/>
      <c r="M20" s="14" t="s">
        <v>5</v>
      </c>
      <c r="N20" s="15" t="s">
        <v>9</v>
      </c>
    </row>
    <row r="21" spans="3:24" x14ac:dyDescent="0.25">
      <c r="C21" s="7">
        <v>2023</v>
      </c>
      <c r="D21" s="3"/>
      <c r="E21" s="3">
        <f>E15</f>
        <v>23</v>
      </c>
      <c r="F21" s="8">
        <f>F15</f>
        <v>166.59866</v>
      </c>
      <c r="G21" s="13"/>
      <c r="H21" s="7">
        <v>2023</v>
      </c>
      <c r="I21" s="3"/>
      <c r="J21" s="3" t="e">
        <f>J15</f>
        <v>#VALUE!</v>
      </c>
      <c r="K21" s="8" t="e">
        <f>K15</f>
        <v>#VALUE!</v>
      </c>
      <c r="L21" s="13"/>
      <c r="M21" s="16" t="e">
        <f t="shared" ref="M21:M25" si="5">K21-F21</f>
        <v>#VALUE!</v>
      </c>
      <c r="N21" s="8" t="e">
        <f>M21*14</f>
        <v>#VALUE!</v>
      </c>
      <c r="V21" t="s">
        <v>44</v>
      </c>
      <c r="X21" t="s">
        <v>43</v>
      </c>
    </row>
    <row r="22" spans="3:24" x14ac:dyDescent="0.25">
      <c r="C22" s="7">
        <v>2024</v>
      </c>
      <c r="D22" s="4">
        <f>IF(Feuil1!$F$8="oui",0,2)</f>
        <v>2</v>
      </c>
      <c r="E22" s="3">
        <f t="shared" ref="E22:E25" si="6">E21+D22</f>
        <v>25</v>
      </c>
      <c r="F22" s="8">
        <f>E22*Feuil1!J3</f>
        <v>181.08550000000002</v>
      </c>
      <c r="G22" s="13"/>
      <c r="H22" s="7">
        <v>2024</v>
      </c>
      <c r="I22" s="4">
        <v>0</v>
      </c>
      <c r="J22" s="3" t="e">
        <f>J21+I22</f>
        <v>#VALUE!</v>
      </c>
      <c r="K22" s="8" t="e">
        <f>K21</f>
        <v>#VALUE!</v>
      </c>
      <c r="L22" s="13"/>
      <c r="M22" s="16" t="e">
        <f t="shared" si="5"/>
        <v>#VALUE!</v>
      </c>
      <c r="N22" s="8" t="e">
        <f t="shared" ref="N22:N25" si="7">M22*14</f>
        <v>#VALUE!</v>
      </c>
      <c r="X22" t="s">
        <v>45</v>
      </c>
    </row>
    <row r="23" spans="3:24" x14ac:dyDescent="0.25">
      <c r="C23" s="7">
        <v>2025</v>
      </c>
      <c r="D23" s="4">
        <f>IF(Feuil1!$F$8="oui",0,2)</f>
        <v>2</v>
      </c>
      <c r="E23" s="3">
        <f t="shared" si="6"/>
        <v>27</v>
      </c>
      <c r="F23" s="8">
        <f>E23*Feuil1!J3</f>
        <v>195.57234</v>
      </c>
      <c r="G23" s="13"/>
      <c r="H23" s="7">
        <v>2025</v>
      </c>
      <c r="I23" s="4">
        <v>0</v>
      </c>
      <c r="J23" s="3" t="e">
        <f t="shared" ref="J23:J25" si="8">J22+I23</f>
        <v>#VALUE!</v>
      </c>
      <c r="K23" s="8" t="e">
        <f t="shared" ref="K23:K24" si="9">K22</f>
        <v>#VALUE!</v>
      </c>
      <c r="L23" s="13"/>
      <c r="M23" s="16" t="e">
        <f t="shared" si="5"/>
        <v>#VALUE!</v>
      </c>
      <c r="N23" s="8" t="e">
        <f t="shared" si="7"/>
        <v>#VALUE!</v>
      </c>
    </row>
    <row r="24" spans="3:24" x14ac:dyDescent="0.25">
      <c r="C24" s="7">
        <v>2026</v>
      </c>
      <c r="D24" s="4">
        <f>IF(Feuil1!$F$8="oui",0,2)</f>
        <v>2</v>
      </c>
      <c r="E24" s="3">
        <f t="shared" si="6"/>
        <v>29</v>
      </c>
      <c r="F24" s="8">
        <f>E24*Feuil1!J3</f>
        <v>210.05918000000003</v>
      </c>
      <c r="G24" s="13"/>
      <c r="H24" s="7">
        <v>2026</v>
      </c>
      <c r="I24" s="4">
        <v>0</v>
      </c>
      <c r="J24" s="3" t="e">
        <f t="shared" si="8"/>
        <v>#VALUE!</v>
      </c>
      <c r="K24" s="8" t="e">
        <f t="shared" si="9"/>
        <v>#VALUE!</v>
      </c>
      <c r="L24" s="13"/>
      <c r="M24" s="16" t="e">
        <f t="shared" si="5"/>
        <v>#VALUE!</v>
      </c>
      <c r="N24" s="8" t="e">
        <f t="shared" si="7"/>
        <v>#VALUE!</v>
      </c>
    </row>
    <row r="25" spans="3:24" ht="15.75" thickBot="1" x14ac:dyDescent="0.3">
      <c r="C25" s="7">
        <v>2027</v>
      </c>
      <c r="D25" s="22">
        <f>IF(Feuil1!$F$8="oui",0,2)+IF(Feuil1!$F$5="Employé",7,IF(Feuil1!$F$5="Cadre 5",12,IF(Feuil1!$F$5="Cadre 6+7",12,15)))</f>
        <v>17</v>
      </c>
      <c r="E25" s="23">
        <f t="shared" si="6"/>
        <v>46</v>
      </c>
      <c r="F25" s="8">
        <f>E25*Feuil1!J3</f>
        <v>333.19731999999999</v>
      </c>
      <c r="G25" s="13"/>
      <c r="H25" s="7">
        <v>2027</v>
      </c>
      <c r="I25" s="21">
        <f>IF(Feuil1!$F$6="A",12,IF(Feuil1!$F$6="B",12,IF(Feuil1!$F$6="C",12,IF(Feuil1!$F$6="D",12,IF(Feuil1!$F$6="E",15,IF(Feuil1!$F$6="F",15,IF(Feuil1!$F$6="G",18,IF(Feuil1!$F$6="H",18,))))))))</f>
        <v>0</v>
      </c>
      <c r="J25" s="23" t="e">
        <f t="shared" si="8"/>
        <v>#VALUE!</v>
      </c>
      <c r="K25" s="11" t="e">
        <f>J25*Feuil1!J3</f>
        <v>#VALUE!</v>
      </c>
      <c r="L25" s="13"/>
      <c r="M25" s="16" t="e">
        <f t="shared" si="5"/>
        <v>#VALUE!</v>
      </c>
      <c r="N25" s="11" t="e">
        <f t="shared" si="7"/>
        <v>#VALUE!</v>
      </c>
    </row>
    <row r="26" spans="3:24" ht="15.75" thickBot="1" x14ac:dyDescent="0.3">
      <c r="N26" s="17" t="e">
        <f>N16+SUM(N22:N25)+O16</f>
        <v>#VALUE!</v>
      </c>
    </row>
    <row r="28" spans="3:24" ht="15.75" thickBot="1" x14ac:dyDescent="0.3"/>
    <row r="29" spans="3:24" ht="15.75" thickBot="1" x14ac:dyDescent="0.3">
      <c r="C29" s="129" t="s">
        <v>6</v>
      </c>
      <c r="D29" s="130"/>
      <c r="E29" s="130"/>
      <c r="F29" s="131"/>
      <c r="H29" s="129" t="s">
        <v>7</v>
      </c>
      <c r="I29" s="130"/>
      <c r="J29" s="130"/>
      <c r="K29" s="131"/>
    </row>
    <row r="30" spans="3:24" ht="45" x14ac:dyDescent="0.25">
      <c r="C30" s="5" t="s">
        <v>1</v>
      </c>
      <c r="D30" s="2" t="s">
        <v>11</v>
      </c>
      <c r="E30" s="2" t="s">
        <v>10</v>
      </c>
      <c r="F30" s="6" t="s">
        <v>8</v>
      </c>
      <c r="G30" s="12"/>
      <c r="H30" s="5" t="s">
        <v>1</v>
      </c>
      <c r="I30" s="2" t="s">
        <v>11</v>
      </c>
      <c r="J30" s="2" t="s">
        <v>2</v>
      </c>
      <c r="K30" s="6" t="s">
        <v>8</v>
      </c>
      <c r="L30" s="12"/>
      <c r="M30" s="14" t="s">
        <v>5</v>
      </c>
      <c r="N30" s="15" t="s">
        <v>9</v>
      </c>
    </row>
    <row r="31" spans="3:24" x14ac:dyDescent="0.25">
      <c r="C31" s="7">
        <v>2027</v>
      </c>
      <c r="D31" s="3"/>
      <c r="E31" s="3">
        <f>E25</f>
        <v>46</v>
      </c>
      <c r="F31" s="8">
        <f>F25</f>
        <v>333.19731999999999</v>
      </c>
      <c r="G31" s="13"/>
      <c r="H31" s="7">
        <v>2027</v>
      </c>
      <c r="I31" s="3"/>
      <c r="J31" s="3" t="e">
        <f>J25</f>
        <v>#VALUE!</v>
      </c>
      <c r="K31" s="8" t="e">
        <f>K25</f>
        <v>#VALUE!</v>
      </c>
      <c r="L31" s="13"/>
      <c r="M31" s="16" t="e">
        <f t="shared" ref="M31:M35" si="10">K31-F31</f>
        <v>#VALUE!</v>
      </c>
      <c r="N31" s="8" t="e">
        <f>M31*14</f>
        <v>#VALUE!</v>
      </c>
    </row>
    <row r="32" spans="3:24" x14ac:dyDescent="0.25">
      <c r="C32" s="7">
        <v>2028</v>
      </c>
      <c r="D32" s="4">
        <f>IF(Feuil1!$F$8="oui",0,2)</f>
        <v>2</v>
      </c>
      <c r="E32" s="3">
        <f t="shared" ref="E32:E35" si="11">E31+D32</f>
        <v>48</v>
      </c>
      <c r="F32" s="8">
        <f>E32*Feuil1!J3</f>
        <v>347.68416000000002</v>
      </c>
      <c r="G32" s="13"/>
      <c r="H32" s="7">
        <v>2028</v>
      </c>
      <c r="I32" s="4">
        <v>0</v>
      </c>
      <c r="J32" s="3" t="e">
        <f>J31+I32</f>
        <v>#VALUE!</v>
      </c>
      <c r="K32" s="8" t="e">
        <f>K31</f>
        <v>#VALUE!</v>
      </c>
      <c r="L32" s="13"/>
      <c r="M32" s="16" t="e">
        <f t="shared" si="10"/>
        <v>#VALUE!</v>
      </c>
      <c r="N32" s="8" t="e">
        <f t="shared" ref="N32:N35" si="12">M32*14</f>
        <v>#VALUE!</v>
      </c>
    </row>
    <row r="33" spans="3:14" x14ac:dyDescent="0.25">
      <c r="C33" s="7">
        <v>2029</v>
      </c>
      <c r="D33" s="4">
        <f>IF(Feuil1!$F$8="oui",0,2)</f>
        <v>2</v>
      </c>
      <c r="E33" s="3">
        <f t="shared" si="11"/>
        <v>50</v>
      </c>
      <c r="F33" s="8">
        <f>E33*Feuil1!J3</f>
        <v>362.17100000000005</v>
      </c>
      <c r="G33" s="13"/>
      <c r="H33" s="7">
        <v>2029</v>
      </c>
      <c r="I33" s="4">
        <v>0</v>
      </c>
      <c r="J33" s="3" t="e">
        <f t="shared" ref="J33:J35" si="13">J32+I33</f>
        <v>#VALUE!</v>
      </c>
      <c r="K33" s="8" t="e">
        <f t="shared" ref="K33:K34" si="14">K32</f>
        <v>#VALUE!</v>
      </c>
      <c r="L33" s="13"/>
      <c r="M33" s="16" t="e">
        <f t="shared" si="10"/>
        <v>#VALUE!</v>
      </c>
      <c r="N33" s="8" t="e">
        <f t="shared" si="12"/>
        <v>#VALUE!</v>
      </c>
    </row>
    <row r="34" spans="3:14" x14ac:dyDescent="0.25">
      <c r="C34" s="7">
        <v>2030</v>
      </c>
      <c r="D34" s="4">
        <f>IF(Feuil1!$F$8="oui",0,2)</f>
        <v>2</v>
      </c>
      <c r="E34" s="3">
        <f t="shared" si="11"/>
        <v>52</v>
      </c>
      <c r="F34" s="8">
        <f>E34*Feuil1!J3</f>
        <v>376.65784000000002</v>
      </c>
      <c r="G34" s="13"/>
      <c r="H34" s="7">
        <v>2030</v>
      </c>
      <c r="I34" s="4">
        <v>0</v>
      </c>
      <c r="J34" s="3" t="e">
        <f t="shared" si="13"/>
        <v>#VALUE!</v>
      </c>
      <c r="K34" s="8" t="e">
        <f t="shared" si="14"/>
        <v>#VALUE!</v>
      </c>
      <c r="L34" s="13"/>
      <c r="M34" s="16" t="e">
        <f t="shared" si="10"/>
        <v>#VALUE!</v>
      </c>
      <c r="N34" s="8" t="e">
        <f t="shared" si="12"/>
        <v>#VALUE!</v>
      </c>
    </row>
    <row r="35" spans="3:14" ht="15.75" thickBot="1" x14ac:dyDescent="0.3">
      <c r="C35" s="7">
        <v>2031</v>
      </c>
      <c r="D35" s="22">
        <f>IF(Feuil1!$F$8="oui",0,2)+IF(Feuil1!$F$5="Employé",7,IF(Feuil1!$F$5="Cadre 5",12,IF(Feuil1!$F$5="Cadre 6+7",12,15)))</f>
        <v>17</v>
      </c>
      <c r="E35" s="23">
        <f t="shared" si="11"/>
        <v>69</v>
      </c>
      <c r="F35" s="8">
        <f>E35*Feuil1!J3</f>
        <v>499.79598000000004</v>
      </c>
      <c r="G35" s="13"/>
      <c r="H35" s="7">
        <v>2031</v>
      </c>
      <c r="I35" s="21">
        <f>IF(Feuil1!$F$6="A",12,IF(Feuil1!$F$6="B",12,IF(Feuil1!$F$6="C",12,IF(Feuil1!$F$6="D",12,IF(Feuil1!$F$6="E",15,IF(Feuil1!$F$6="F",15,IF(Feuil1!$F$6="G",18,IF(Feuil1!$F$6="H",18,))))))))</f>
        <v>0</v>
      </c>
      <c r="J35" s="23" t="e">
        <f t="shared" si="13"/>
        <v>#VALUE!</v>
      </c>
      <c r="K35" s="11" t="e">
        <f>J35*Feuil1!J3</f>
        <v>#VALUE!</v>
      </c>
      <c r="L35" s="13"/>
      <c r="M35" s="16" t="e">
        <f t="shared" si="10"/>
        <v>#VALUE!</v>
      </c>
      <c r="N35" s="11" t="e">
        <f t="shared" si="12"/>
        <v>#VALUE!</v>
      </c>
    </row>
    <row r="36" spans="3:14" ht="15.75" thickBot="1" x14ac:dyDescent="0.3">
      <c r="N36" s="17" t="e">
        <f>N26+SUM(N32:N35)+O16</f>
        <v>#VALUE!</v>
      </c>
    </row>
    <row r="38" spans="3:14" ht="15.75" thickBot="1" x14ac:dyDescent="0.3"/>
    <row r="39" spans="3:14" ht="15.75" thickBot="1" x14ac:dyDescent="0.3">
      <c r="C39" s="129" t="s">
        <v>6</v>
      </c>
      <c r="D39" s="130"/>
      <c r="E39" s="130"/>
      <c r="F39" s="131"/>
      <c r="H39" s="129" t="s">
        <v>7</v>
      </c>
      <c r="I39" s="130"/>
      <c r="J39" s="130"/>
      <c r="K39" s="131"/>
    </row>
    <row r="40" spans="3:14" ht="45" x14ac:dyDescent="0.25">
      <c r="C40" s="5" t="s">
        <v>1</v>
      </c>
      <c r="D40" s="2" t="s">
        <v>11</v>
      </c>
      <c r="E40" s="2" t="s">
        <v>10</v>
      </c>
      <c r="F40" s="6" t="s">
        <v>8</v>
      </c>
      <c r="G40" s="12"/>
      <c r="H40" s="5" t="s">
        <v>1</v>
      </c>
      <c r="I40" s="2" t="s">
        <v>11</v>
      </c>
      <c r="J40" s="2" t="s">
        <v>2</v>
      </c>
      <c r="K40" s="6" t="s">
        <v>8</v>
      </c>
      <c r="L40" s="12"/>
      <c r="M40" s="14" t="s">
        <v>5</v>
      </c>
      <c r="N40" s="15" t="s">
        <v>9</v>
      </c>
    </row>
    <row r="41" spans="3:14" x14ac:dyDescent="0.25">
      <c r="C41" s="7">
        <v>2031</v>
      </c>
      <c r="D41" s="3"/>
      <c r="E41" s="3">
        <f>E35</f>
        <v>69</v>
      </c>
      <c r="F41" s="8">
        <f>F35</f>
        <v>499.79598000000004</v>
      </c>
      <c r="G41" s="13"/>
      <c r="H41" s="7">
        <v>2031</v>
      </c>
      <c r="I41" s="3"/>
      <c r="J41" s="3" t="e">
        <f>J35</f>
        <v>#VALUE!</v>
      </c>
      <c r="K41" s="8" t="e">
        <f>K35</f>
        <v>#VALUE!</v>
      </c>
      <c r="L41" s="13"/>
      <c r="M41" s="16" t="e">
        <f t="shared" ref="M41:M45" si="15">K41-F41</f>
        <v>#VALUE!</v>
      </c>
      <c r="N41" s="8" t="e">
        <f>M41*14</f>
        <v>#VALUE!</v>
      </c>
    </row>
    <row r="42" spans="3:14" x14ac:dyDescent="0.25">
      <c r="C42" s="7">
        <v>2032</v>
      </c>
      <c r="D42" s="4">
        <f>IF(Feuil1!$F$8="oui",0,2)</f>
        <v>2</v>
      </c>
      <c r="E42" s="3">
        <f t="shared" ref="E42:E45" si="16">E41+D42</f>
        <v>71</v>
      </c>
      <c r="F42" s="8">
        <f>E42*Feuil1!J3</f>
        <v>514.28282000000002</v>
      </c>
      <c r="G42" s="13"/>
      <c r="H42" s="7">
        <v>2032</v>
      </c>
      <c r="I42" s="4">
        <v>0</v>
      </c>
      <c r="J42" s="3" t="e">
        <f>J41+I42</f>
        <v>#VALUE!</v>
      </c>
      <c r="K42" s="8" t="e">
        <f>K41</f>
        <v>#VALUE!</v>
      </c>
      <c r="L42" s="13"/>
      <c r="M42" s="16" t="e">
        <f t="shared" si="15"/>
        <v>#VALUE!</v>
      </c>
      <c r="N42" s="8" t="e">
        <f t="shared" ref="N42:N45" si="17">M42*14</f>
        <v>#VALUE!</v>
      </c>
    </row>
    <row r="43" spans="3:14" x14ac:dyDescent="0.25">
      <c r="C43" s="7">
        <v>2033</v>
      </c>
      <c r="D43" s="4">
        <f>IF(Feuil1!$F$8="oui",0,2)</f>
        <v>2</v>
      </c>
      <c r="E43" s="3">
        <f t="shared" si="16"/>
        <v>73</v>
      </c>
      <c r="F43" s="8">
        <f>E43*Feuil1!J3</f>
        <v>528.76966000000004</v>
      </c>
      <c r="G43" s="13"/>
      <c r="H43" s="7">
        <v>2033</v>
      </c>
      <c r="I43" s="4">
        <v>0</v>
      </c>
      <c r="J43" s="3" t="e">
        <f t="shared" ref="J43:J45" si="18">J42+I43</f>
        <v>#VALUE!</v>
      </c>
      <c r="K43" s="8" t="e">
        <f t="shared" ref="K43:K44" si="19">K42</f>
        <v>#VALUE!</v>
      </c>
      <c r="L43" s="13"/>
      <c r="M43" s="16" t="e">
        <f t="shared" si="15"/>
        <v>#VALUE!</v>
      </c>
      <c r="N43" s="8" t="e">
        <f t="shared" si="17"/>
        <v>#VALUE!</v>
      </c>
    </row>
    <row r="44" spans="3:14" x14ac:dyDescent="0.25">
      <c r="C44" s="7">
        <v>2034</v>
      </c>
      <c r="D44" s="4">
        <f>IF(Feuil1!$F$8="oui",0,2)</f>
        <v>2</v>
      </c>
      <c r="E44" s="3">
        <f t="shared" si="16"/>
        <v>75</v>
      </c>
      <c r="F44" s="8">
        <f>E44*Feuil1!J3</f>
        <v>543.25650000000007</v>
      </c>
      <c r="G44" s="13"/>
      <c r="H44" s="7">
        <v>2034</v>
      </c>
      <c r="I44" s="4">
        <v>0</v>
      </c>
      <c r="J44" s="3" t="e">
        <f t="shared" si="18"/>
        <v>#VALUE!</v>
      </c>
      <c r="K44" s="8" t="e">
        <f t="shared" si="19"/>
        <v>#VALUE!</v>
      </c>
      <c r="L44" s="13"/>
      <c r="M44" s="16" t="e">
        <f t="shared" si="15"/>
        <v>#VALUE!</v>
      </c>
      <c r="N44" s="8" t="e">
        <f t="shared" si="17"/>
        <v>#VALUE!</v>
      </c>
    </row>
    <row r="45" spans="3:14" ht="15.75" thickBot="1" x14ac:dyDescent="0.3">
      <c r="C45" s="7">
        <v>2035</v>
      </c>
      <c r="D45" s="22">
        <f>IF(Feuil1!$F$8="oui",0,2)+IF(Feuil1!$F$5="Employé",7,IF(Feuil1!$F$5="Cadre 5",12,IF(Feuil1!$F$5="Cadre 6+7",12,15)))</f>
        <v>17</v>
      </c>
      <c r="E45" s="23">
        <f t="shared" si="16"/>
        <v>92</v>
      </c>
      <c r="F45" s="8">
        <f>E45*Feuil1!J3</f>
        <v>666.39463999999998</v>
      </c>
      <c r="G45" s="13"/>
      <c r="H45" s="7">
        <v>2035</v>
      </c>
      <c r="I45" s="21">
        <f>IF(Feuil1!$F$6="A",12,IF(Feuil1!$F$6="B",12,IF(Feuil1!$F$6="C",12,IF(Feuil1!$F$6="D",12,IF(Feuil1!$F$6="E",15,IF(Feuil1!$F$6="F",15,IF(Feuil1!$F$6="G",18,IF(Feuil1!$F$6="H",18,))))))))</f>
        <v>0</v>
      </c>
      <c r="J45" s="23" t="e">
        <f t="shared" si="18"/>
        <v>#VALUE!</v>
      </c>
      <c r="K45" s="11" t="e">
        <f>J45*Feuil1!J3</f>
        <v>#VALUE!</v>
      </c>
      <c r="L45" s="13"/>
      <c r="M45" s="16" t="e">
        <f t="shared" si="15"/>
        <v>#VALUE!</v>
      </c>
      <c r="N45" s="11" t="e">
        <f t="shared" si="17"/>
        <v>#VALUE!</v>
      </c>
    </row>
    <row r="46" spans="3:14" ht="15.75" thickBot="1" x14ac:dyDescent="0.3">
      <c r="N46" s="17" t="e">
        <f>N36+SUM(N42:N45)+O16</f>
        <v>#VALUE!</v>
      </c>
    </row>
  </sheetData>
  <mergeCells count="8">
    <mergeCell ref="C39:F39"/>
    <mergeCell ref="H39:K39"/>
    <mergeCell ref="C9:F9"/>
    <mergeCell ref="H9:K9"/>
    <mergeCell ref="C19:F19"/>
    <mergeCell ref="H19:K19"/>
    <mergeCell ref="C29:F29"/>
    <mergeCell ref="H29:K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F46"/>
  <sheetViews>
    <sheetView windowProtection="1" topLeftCell="A8" zoomScale="80" zoomScaleNormal="80" workbookViewId="0">
      <selection activeCell="O17" sqref="O17"/>
    </sheetView>
  </sheetViews>
  <sheetFormatPr baseColWidth="10" defaultRowHeight="15" x14ac:dyDescent="0.25"/>
  <sheetData>
    <row r="1" spans="2:24" hidden="1" x14ac:dyDescent="0.25"/>
    <row r="2" spans="2:24" hidden="1" x14ac:dyDescent="0.25"/>
    <row r="3" spans="2:24" hidden="1" x14ac:dyDescent="0.25"/>
    <row r="4" spans="2:24" hidden="1" x14ac:dyDescent="0.25"/>
    <row r="5" spans="2:24" hidden="1" x14ac:dyDescent="0.25"/>
    <row r="6" spans="2:24" hidden="1" x14ac:dyDescent="0.25"/>
    <row r="7" spans="2:24" hidden="1" x14ac:dyDescent="0.25"/>
    <row r="8" spans="2:24" ht="15.75" thickBot="1" x14ac:dyDescent="0.3"/>
    <row r="9" spans="2:24" ht="15.75" thickBot="1" x14ac:dyDescent="0.3">
      <c r="C9" s="129" t="s">
        <v>6</v>
      </c>
      <c r="D9" s="130"/>
      <c r="E9" s="130"/>
      <c r="F9" s="131"/>
      <c r="H9" s="129" t="s">
        <v>7</v>
      </c>
      <c r="I9" s="130"/>
      <c r="J9" s="130"/>
      <c r="K9" s="131"/>
    </row>
    <row r="10" spans="2:24" ht="45" x14ac:dyDescent="0.25">
      <c r="B10" s="1"/>
      <c r="C10" s="5" t="s">
        <v>1</v>
      </c>
      <c r="D10" s="2" t="s">
        <v>11</v>
      </c>
      <c r="E10" s="2" t="s">
        <v>10</v>
      </c>
      <c r="F10" s="6" t="s">
        <v>8</v>
      </c>
      <c r="G10" s="19"/>
      <c r="H10" s="5" t="s">
        <v>1</v>
      </c>
      <c r="I10" s="2" t="s">
        <v>11</v>
      </c>
      <c r="J10" s="2" t="s">
        <v>2</v>
      </c>
      <c r="K10" s="6" t="s">
        <v>8</v>
      </c>
      <c r="L10" s="19"/>
      <c r="M10" s="14" t="s">
        <v>5</v>
      </c>
      <c r="N10" s="15" t="s">
        <v>9</v>
      </c>
    </row>
    <row r="11" spans="2:24" x14ac:dyDescent="0.25">
      <c r="C11" s="7">
        <v>2019</v>
      </c>
      <c r="D11" s="3"/>
      <c r="E11" s="3">
        <f>Feuil1!F3</f>
        <v>0</v>
      </c>
      <c r="F11" s="8">
        <f>Feuil1!F3*Feuil1!J3</f>
        <v>0</v>
      </c>
      <c r="G11" s="13"/>
      <c r="H11" s="7">
        <v>2019</v>
      </c>
      <c r="I11" s="3"/>
      <c r="J11" s="3" t="str">
        <f>IF(Feuil1!$J$6&gt;Feuil1!$F$3,Feuil1!$J$6,Feuil1!$F$3)</f>
        <v xml:space="preserve"> </v>
      </c>
      <c r="K11" s="8" t="e">
        <f>J11*Feuil1!J3</f>
        <v>#VALUE!</v>
      </c>
      <c r="L11" s="13"/>
      <c r="M11" s="16" t="e">
        <f>K11-F11</f>
        <v>#VALUE!</v>
      </c>
      <c r="N11" s="8">
        <v>0</v>
      </c>
      <c r="O11" t="e">
        <f>IF(Feuil1!$J$6&gt;Feuil1!$F$3,(Feuil1!$J$6-Feuil1!$F$3)*Feuil1!$J$3,0)</f>
        <v>#VALUE!</v>
      </c>
      <c r="V11" t="s">
        <v>21</v>
      </c>
      <c r="W11">
        <v>7</v>
      </c>
      <c r="X11">
        <v>12</v>
      </c>
    </row>
    <row r="12" spans="2:24" x14ac:dyDescent="0.25">
      <c r="C12" s="7">
        <v>2020</v>
      </c>
      <c r="D12" s="4">
        <f>IF(Feuil1!$F$8="oui",0,2)</f>
        <v>2</v>
      </c>
      <c r="E12" s="3">
        <f>E11+D12</f>
        <v>2</v>
      </c>
      <c r="F12" s="8">
        <f>E12*Feuil1!J3</f>
        <v>14.486840000000001</v>
      </c>
      <c r="G12" s="13"/>
      <c r="H12" s="7">
        <v>2020</v>
      </c>
      <c r="I12" s="4" t="s">
        <v>12</v>
      </c>
      <c r="J12" s="3" t="str">
        <f>IF(Feuil1!$J$6&gt;Feuil1!$F$3,Feuil1!$J$6,Feuil1!$F$3)</f>
        <v xml:space="preserve"> </v>
      </c>
      <c r="K12" s="8" t="e">
        <f>K11</f>
        <v>#VALUE!</v>
      </c>
      <c r="L12" s="13"/>
      <c r="M12" s="16" t="e">
        <f t="shared" ref="M12:M15" si="0">K12-F12</f>
        <v>#VALUE!</v>
      </c>
      <c r="N12" s="8" t="e">
        <f t="shared" ref="N12:N15" si="1">M12*14</f>
        <v>#VALUE!</v>
      </c>
      <c r="O12" t="e">
        <f>IF(Feuil1!$J$6&gt;Feuil1!$F$3,(Feuil1!$J$6-Feuil1!$F$3)*Feuil1!$J$3,0)</f>
        <v>#VALUE!</v>
      </c>
      <c r="V12" t="s">
        <v>23</v>
      </c>
      <c r="W12">
        <v>12</v>
      </c>
      <c r="X12">
        <v>12</v>
      </c>
    </row>
    <row r="13" spans="2:24" x14ac:dyDescent="0.25">
      <c r="C13" s="7">
        <v>2021</v>
      </c>
      <c r="D13" s="4">
        <f>IF(Feuil1!$F$8="oui",0,2)</f>
        <v>2</v>
      </c>
      <c r="E13" s="3">
        <f t="shared" ref="E13:E15" si="2">E12+D13</f>
        <v>4</v>
      </c>
      <c r="F13" s="8">
        <f>E13*Feuil1!J3</f>
        <v>28.973680000000002</v>
      </c>
      <c r="G13" s="13"/>
      <c r="H13" s="7">
        <v>2021</v>
      </c>
      <c r="I13" s="4" t="s">
        <v>12</v>
      </c>
      <c r="J13" s="3" t="str">
        <f>IF(Feuil1!$J$6&gt;Feuil1!$F$3,Feuil1!$J$6,Feuil1!$F$3)</f>
        <v xml:space="preserve"> </v>
      </c>
      <c r="K13" s="8" t="e">
        <f t="shared" ref="K13:K14" si="3">K12</f>
        <v>#VALUE!</v>
      </c>
      <c r="L13" s="13"/>
      <c r="M13" s="16" t="e">
        <f t="shared" si="0"/>
        <v>#VALUE!</v>
      </c>
      <c r="N13" s="8" t="e">
        <f t="shared" si="1"/>
        <v>#VALUE!</v>
      </c>
      <c r="O13" t="e">
        <f>IF(Feuil1!$J$6&gt;Feuil1!$F$3,(Feuil1!$J$6-Feuil1!$F$3)*Feuil1!$J$3,0)</f>
        <v>#VALUE!</v>
      </c>
      <c r="V13" t="s">
        <v>24</v>
      </c>
      <c r="W13">
        <v>12</v>
      </c>
      <c r="X13">
        <v>15</v>
      </c>
    </row>
    <row r="14" spans="2:24" x14ac:dyDescent="0.25">
      <c r="C14" s="7">
        <v>2022</v>
      </c>
      <c r="D14" s="4">
        <f>IF(Feuil1!$F$8="oui",0,2)</f>
        <v>2</v>
      </c>
      <c r="E14" s="3">
        <f t="shared" si="2"/>
        <v>6</v>
      </c>
      <c r="F14" s="8">
        <f>E14*Feuil1!J3</f>
        <v>43.460520000000002</v>
      </c>
      <c r="G14" s="13"/>
      <c r="H14" s="7">
        <v>2022</v>
      </c>
      <c r="I14" s="4" t="s">
        <v>12</v>
      </c>
      <c r="J14" s="3" t="str">
        <f>IF(Feuil1!$J$6&gt;Feuil1!$F$3,Feuil1!$J$6,Feuil1!$F$3)</f>
        <v xml:space="preserve"> </v>
      </c>
      <c r="K14" s="8" t="e">
        <f t="shared" si="3"/>
        <v>#VALUE!</v>
      </c>
      <c r="L14" s="13"/>
      <c r="M14" s="16" t="e">
        <f t="shared" si="0"/>
        <v>#VALUE!</v>
      </c>
      <c r="N14" s="8" t="e">
        <f t="shared" si="1"/>
        <v>#VALUE!</v>
      </c>
      <c r="O14" t="e">
        <f>IF(Feuil1!$J$6&gt;Feuil1!$F$3,(Feuil1!$J$6-Feuil1!$F$3)*Feuil1!$J$3,0)</f>
        <v>#VALUE!</v>
      </c>
      <c r="V14" t="s">
        <v>22</v>
      </c>
      <c r="W14">
        <v>15</v>
      </c>
      <c r="X14">
        <v>18</v>
      </c>
    </row>
    <row r="15" spans="2:24" ht="15.75" thickBot="1" x14ac:dyDescent="0.3">
      <c r="B15" t="s">
        <v>4</v>
      </c>
      <c r="C15" s="9">
        <v>2023</v>
      </c>
      <c r="D15" s="22">
        <f>IF(Feuil1!$F$8="oui",0,2)+IF(Feuil1!$F$5="Employé",7,IF(Feuil1!$F$5="Cadre 5",12,IF(Feuil1!$F$5="Cadre 6+7",12,15)))</f>
        <v>17</v>
      </c>
      <c r="E15" s="23">
        <f t="shared" si="2"/>
        <v>23</v>
      </c>
      <c r="F15" s="8">
        <f>E15*Feuil1!J3</f>
        <v>166.59866</v>
      </c>
      <c r="G15" s="13"/>
      <c r="H15" s="9">
        <v>2023</v>
      </c>
      <c r="I15" s="24">
        <v>9</v>
      </c>
      <c r="J15" s="23" t="e">
        <f t="shared" ref="J13:J15" si="4">J14+I15</f>
        <v>#VALUE!</v>
      </c>
      <c r="K15" s="11" t="e">
        <f>J15*Feuil1!J3</f>
        <v>#VALUE!</v>
      </c>
      <c r="L15" s="13"/>
      <c r="M15" s="16" t="e">
        <f t="shared" si="0"/>
        <v>#VALUE!</v>
      </c>
      <c r="N15" s="11" t="e">
        <f t="shared" si="1"/>
        <v>#VALUE!</v>
      </c>
      <c r="O15" t="e">
        <f>IF(Feuil1!$J$6&gt;Feuil1!$F$3,(Feuil1!$J$6-Feuil1!$F$3)*Feuil1!$J$3,0)</f>
        <v>#VALUE!</v>
      </c>
    </row>
    <row r="16" spans="2:24" ht="15.75" thickBot="1" x14ac:dyDescent="0.3">
      <c r="N16" s="17" t="e">
        <f>SUM(N12:N15)+O16</f>
        <v>#VALUE!</v>
      </c>
      <c r="O16">
        <v>0</v>
      </c>
    </row>
    <row r="17" spans="3:32" x14ac:dyDescent="0.25">
      <c r="V17" t="s">
        <v>25</v>
      </c>
      <c r="X17" t="s">
        <v>26</v>
      </c>
      <c r="Y17" s="85" t="s">
        <v>52</v>
      </c>
      <c r="Z17" s="85"/>
      <c r="AA17" s="85"/>
      <c r="AB17" s="85"/>
      <c r="AC17" s="85" t="s">
        <v>36</v>
      </c>
      <c r="AD17" s="85"/>
      <c r="AE17" s="85"/>
      <c r="AF17" s="85"/>
    </row>
    <row r="18" spans="3:32" ht="15.75" thickBot="1" x14ac:dyDescent="0.3">
      <c r="X18" t="s">
        <v>27</v>
      </c>
      <c r="Y18" s="85" t="s">
        <v>53</v>
      </c>
      <c r="Z18" s="85"/>
      <c r="AA18" s="85"/>
      <c r="AB18" s="85"/>
      <c r="AC18" s="85" t="s">
        <v>55</v>
      </c>
      <c r="AD18" s="85"/>
      <c r="AE18" s="85"/>
      <c r="AF18" s="85"/>
    </row>
    <row r="19" spans="3:32" ht="15.75" thickBot="1" x14ac:dyDescent="0.3">
      <c r="C19" s="129" t="s">
        <v>6</v>
      </c>
      <c r="D19" s="130"/>
      <c r="E19" s="130"/>
      <c r="F19" s="131"/>
      <c r="H19" s="129" t="s">
        <v>7</v>
      </c>
      <c r="I19" s="130"/>
      <c r="J19" s="130"/>
      <c r="K19" s="131"/>
    </row>
    <row r="20" spans="3:32" ht="45" x14ac:dyDescent="0.25">
      <c r="C20" s="5" t="s">
        <v>1</v>
      </c>
      <c r="D20" s="2" t="s">
        <v>11</v>
      </c>
      <c r="E20" s="2" t="s">
        <v>10</v>
      </c>
      <c r="F20" s="6" t="s">
        <v>8</v>
      </c>
      <c r="G20" s="19"/>
      <c r="H20" s="5" t="s">
        <v>1</v>
      </c>
      <c r="I20" s="2" t="s">
        <v>11</v>
      </c>
      <c r="J20" s="2" t="s">
        <v>2</v>
      </c>
      <c r="K20" s="6" t="s">
        <v>8</v>
      </c>
      <c r="L20" s="19"/>
      <c r="M20" s="14" t="s">
        <v>5</v>
      </c>
      <c r="N20" s="15" t="s">
        <v>9</v>
      </c>
      <c r="Y20" s="85" t="s">
        <v>35</v>
      </c>
      <c r="Z20" s="85"/>
      <c r="AA20" s="85"/>
      <c r="AB20" s="85"/>
      <c r="AC20" s="85" t="s">
        <v>37</v>
      </c>
      <c r="AD20" s="85"/>
      <c r="AE20" s="85"/>
      <c r="AF20" s="85"/>
    </row>
    <row r="21" spans="3:32" x14ac:dyDescent="0.25">
      <c r="C21" s="7">
        <v>2023</v>
      </c>
      <c r="D21" s="3"/>
      <c r="E21" s="3">
        <f>E15</f>
        <v>23</v>
      </c>
      <c r="F21" s="8">
        <f>F15</f>
        <v>166.59866</v>
      </c>
      <c r="G21" s="13"/>
      <c r="H21" s="7">
        <v>2019</v>
      </c>
      <c r="I21" s="3"/>
      <c r="J21" s="3" t="e">
        <f>J15</f>
        <v>#VALUE!</v>
      </c>
      <c r="K21" s="8" t="e">
        <f>K15</f>
        <v>#VALUE!</v>
      </c>
      <c r="L21" s="13"/>
      <c r="M21" s="16" t="e">
        <f t="shared" ref="M21:M25" si="5">K21-F21</f>
        <v>#VALUE!</v>
      </c>
      <c r="N21" s="8" t="e">
        <f>M21*14</f>
        <v>#VALUE!</v>
      </c>
      <c r="Y21" s="85" t="s">
        <v>54</v>
      </c>
      <c r="Z21" s="85"/>
      <c r="AA21" s="85"/>
      <c r="AB21" s="85"/>
      <c r="AC21" s="85" t="s">
        <v>56</v>
      </c>
      <c r="AD21" s="85"/>
      <c r="AE21" s="85"/>
      <c r="AF21" s="85"/>
    </row>
    <row r="22" spans="3:32" x14ac:dyDescent="0.25">
      <c r="C22" s="7">
        <v>2024</v>
      </c>
      <c r="D22" s="4">
        <f>IF(Feuil1!$F$8="oui",0,2)</f>
        <v>2</v>
      </c>
      <c r="E22" s="3">
        <f t="shared" ref="E22:E25" si="6">E21+D22</f>
        <v>25</v>
      </c>
      <c r="F22" s="8">
        <f>E22*Feuil1!J3</f>
        <v>181.08550000000002</v>
      </c>
      <c r="G22" s="13"/>
      <c r="H22" s="7">
        <v>2020</v>
      </c>
      <c r="I22" s="4" t="s">
        <v>12</v>
      </c>
      <c r="J22" s="3" t="e">
        <f>J21+I22</f>
        <v>#VALUE!</v>
      </c>
      <c r="K22" s="8" t="e">
        <f>K21</f>
        <v>#VALUE!</v>
      </c>
      <c r="L22" s="13"/>
      <c r="M22" s="16" t="e">
        <f t="shared" si="5"/>
        <v>#VALUE!</v>
      </c>
      <c r="N22" s="8" t="e">
        <f t="shared" ref="N22:N25" si="7">M22*14</f>
        <v>#VALUE!</v>
      </c>
    </row>
    <row r="23" spans="3:32" x14ac:dyDescent="0.25">
      <c r="C23" s="7">
        <v>2025</v>
      </c>
      <c r="D23" s="4">
        <f>IF(Feuil1!$F$8="oui",0,2)</f>
        <v>2</v>
      </c>
      <c r="E23" s="3">
        <f t="shared" si="6"/>
        <v>27</v>
      </c>
      <c r="F23" s="8">
        <f>E23*Feuil1!J3</f>
        <v>195.57234</v>
      </c>
      <c r="G23" s="13"/>
      <c r="H23" s="7">
        <v>2021</v>
      </c>
      <c r="I23" s="4" t="s">
        <v>12</v>
      </c>
      <c r="J23" s="3" t="e">
        <f t="shared" ref="J23:J25" si="8">J22+I23</f>
        <v>#VALUE!</v>
      </c>
      <c r="K23" s="8" t="e">
        <f t="shared" ref="K23:K24" si="9">K22</f>
        <v>#VALUE!</v>
      </c>
      <c r="L23" s="13"/>
      <c r="M23" s="16" t="e">
        <f t="shared" si="5"/>
        <v>#VALUE!</v>
      </c>
      <c r="N23" s="8" t="e">
        <f t="shared" si="7"/>
        <v>#VALUE!</v>
      </c>
    </row>
    <row r="24" spans="3:32" x14ac:dyDescent="0.25">
      <c r="C24" s="7">
        <v>2026</v>
      </c>
      <c r="D24" s="4">
        <f>IF(Feuil1!$F$8="oui",0,2)</f>
        <v>2</v>
      </c>
      <c r="E24" s="3">
        <f t="shared" si="6"/>
        <v>29</v>
      </c>
      <c r="F24" s="8">
        <f>E24*Feuil1!J3</f>
        <v>210.05918000000003</v>
      </c>
      <c r="G24" s="13"/>
      <c r="H24" s="7">
        <v>2022</v>
      </c>
      <c r="I24" s="4" t="s">
        <v>12</v>
      </c>
      <c r="J24" s="3" t="e">
        <f t="shared" si="8"/>
        <v>#VALUE!</v>
      </c>
      <c r="K24" s="8" t="e">
        <f t="shared" si="9"/>
        <v>#VALUE!</v>
      </c>
      <c r="L24" s="13"/>
      <c r="M24" s="16" t="e">
        <f t="shared" si="5"/>
        <v>#VALUE!</v>
      </c>
      <c r="N24" s="8" t="e">
        <f t="shared" si="7"/>
        <v>#VALUE!</v>
      </c>
    </row>
    <row r="25" spans="3:32" ht="15.75" thickBot="1" x14ac:dyDescent="0.3">
      <c r="C25" s="7">
        <v>2027</v>
      </c>
      <c r="D25" s="22">
        <f>IF(Feuil1!$F$8="oui",0,2)+IF(Feuil1!$F$5="Employé",7,IF(Feuil1!$F$5="Cadre 5",12,IF(Feuil1!$F$5="Cadre 6+7",12,15)))</f>
        <v>17</v>
      </c>
      <c r="E25" s="23">
        <f t="shared" si="6"/>
        <v>46</v>
      </c>
      <c r="F25" s="8">
        <f>E25*Feuil1!J3</f>
        <v>333.19731999999999</v>
      </c>
      <c r="G25" s="13"/>
      <c r="H25" s="9">
        <v>2023</v>
      </c>
      <c r="I25" s="10">
        <v>9</v>
      </c>
      <c r="J25" s="3" t="e">
        <f t="shared" si="8"/>
        <v>#VALUE!</v>
      </c>
      <c r="K25" s="11" t="e">
        <f>J25*Feuil1!J3</f>
        <v>#VALUE!</v>
      </c>
      <c r="L25" s="13"/>
      <c r="M25" s="16" t="e">
        <f t="shared" si="5"/>
        <v>#VALUE!</v>
      </c>
      <c r="N25" s="11" t="e">
        <f t="shared" si="7"/>
        <v>#VALUE!</v>
      </c>
    </row>
    <row r="26" spans="3:32" ht="15.75" thickBot="1" x14ac:dyDescent="0.3">
      <c r="N26" s="17" t="e">
        <f>N16+SUM(N22:N25)+O16</f>
        <v>#VALUE!</v>
      </c>
    </row>
    <row r="28" spans="3:32" ht="15.75" thickBot="1" x14ac:dyDescent="0.3"/>
    <row r="29" spans="3:32" ht="15.75" thickBot="1" x14ac:dyDescent="0.3">
      <c r="C29" s="129" t="s">
        <v>6</v>
      </c>
      <c r="D29" s="130"/>
      <c r="E29" s="130"/>
      <c r="F29" s="131"/>
      <c r="H29" s="129" t="s">
        <v>7</v>
      </c>
      <c r="I29" s="130"/>
      <c r="J29" s="130"/>
      <c r="K29" s="131"/>
    </row>
    <row r="30" spans="3:32" ht="45" x14ac:dyDescent="0.25">
      <c r="C30" s="5" t="s">
        <v>1</v>
      </c>
      <c r="D30" s="2" t="s">
        <v>11</v>
      </c>
      <c r="E30" s="2" t="s">
        <v>10</v>
      </c>
      <c r="F30" s="6" t="s">
        <v>8</v>
      </c>
      <c r="G30" s="19"/>
      <c r="H30" s="5" t="s">
        <v>1</v>
      </c>
      <c r="I30" s="2" t="s">
        <v>11</v>
      </c>
      <c r="J30" s="2" t="s">
        <v>2</v>
      </c>
      <c r="K30" s="6" t="s">
        <v>8</v>
      </c>
      <c r="L30" s="19"/>
      <c r="M30" s="14" t="s">
        <v>5</v>
      </c>
      <c r="N30" s="15" t="s">
        <v>9</v>
      </c>
    </row>
    <row r="31" spans="3:32" x14ac:dyDescent="0.25">
      <c r="C31" s="7">
        <v>2027</v>
      </c>
      <c r="D31" s="3"/>
      <c r="E31" s="3">
        <f>E25</f>
        <v>46</v>
      </c>
      <c r="F31" s="8">
        <f>F25</f>
        <v>333.19731999999999</v>
      </c>
      <c r="G31" s="13"/>
      <c r="H31" s="7">
        <v>2019</v>
      </c>
      <c r="I31" s="3"/>
      <c r="J31" s="3" t="e">
        <f>J25</f>
        <v>#VALUE!</v>
      </c>
      <c r="K31" s="8" t="e">
        <f>K25</f>
        <v>#VALUE!</v>
      </c>
      <c r="L31" s="13"/>
      <c r="M31" s="16" t="e">
        <f t="shared" ref="M31:M35" si="10">K31-F31</f>
        <v>#VALUE!</v>
      </c>
      <c r="N31" s="8" t="e">
        <f>M31*14</f>
        <v>#VALUE!</v>
      </c>
    </row>
    <row r="32" spans="3:32" x14ac:dyDescent="0.25">
      <c r="C32" s="7">
        <v>2028</v>
      </c>
      <c r="D32" s="4">
        <f>IF(Feuil1!$F$8="oui",0,2)</f>
        <v>2</v>
      </c>
      <c r="E32" s="3">
        <f t="shared" ref="E32:E35" si="11">E31+D32</f>
        <v>48</v>
      </c>
      <c r="F32" s="8">
        <f>E32*Feuil1!J3</f>
        <v>347.68416000000002</v>
      </c>
      <c r="G32" s="13"/>
      <c r="H32" s="7">
        <v>2020</v>
      </c>
      <c r="I32" s="4" t="s">
        <v>12</v>
      </c>
      <c r="J32" s="3" t="e">
        <f>J31+I32</f>
        <v>#VALUE!</v>
      </c>
      <c r="K32" s="8" t="e">
        <f>K31</f>
        <v>#VALUE!</v>
      </c>
      <c r="L32" s="13"/>
      <c r="M32" s="16" t="e">
        <f t="shared" si="10"/>
        <v>#VALUE!</v>
      </c>
      <c r="N32" s="8" t="e">
        <f t="shared" ref="N32:N35" si="12">M32*14</f>
        <v>#VALUE!</v>
      </c>
    </row>
    <row r="33" spans="3:14" x14ac:dyDescent="0.25">
      <c r="C33" s="7">
        <v>2029</v>
      </c>
      <c r="D33" s="4">
        <f>IF(Feuil1!$F$8="oui",0,2)</f>
        <v>2</v>
      </c>
      <c r="E33" s="3">
        <f t="shared" si="11"/>
        <v>50</v>
      </c>
      <c r="F33" s="8">
        <f>E33*Feuil1!J3</f>
        <v>362.17100000000005</v>
      </c>
      <c r="G33" s="13"/>
      <c r="H33" s="7">
        <v>2021</v>
      </c>
      <c r="I33" s="4" t="s">
        <v>12</v>
      </c>
      <c r="J33" s="3" t="e">
        <f t="shared" ref="J33:J35" si="13">J32+I33</f>
        <v>#VALUE!</v>
      </c>
      <c r="K33" s="8" t="e">
        <f t="shared" ref="K33:K34" si="14">K32</f>
        <v>#VALUE!</v>
      </c>
      <c r="L33" s="13"/>
      <c r="M33" s="16" t="e">
        <f t="shared" si="10"/>
        <v>#VALUE!</v>
      </c>
      <c r="N33" s="8" t="e">
        <f t="shared" si="12"/>
        <v>#VALUE!</v>
      </c>
    </row>
    <row r="34" spans="3:14" x14ac:dyDescent="0.25">
      <c r="C34" s="7">
        <v>2030</v>
      </c>
      <c r="D34" s="4">
        <f>IF(Feuil1!$F$8="oui",0,2)</f>
        <v>2</v>
      </c>
      <c r="E34" s="3">
        <f t="shared" si="11"/>
        <v>52</v>
      </c>
      <c r="F34" s="8">
        <f>E34*Feuil1!J3</f>
        <v>376.65784000000002</v>
      </c>
      <c r="G34" s="13"/>
      <c r="H34" s="7">
        <v>2022</v>
      </c>
      <c r="I34" s="4" t="s">
        <v>12</v>
      </c>
      <c r="J34" s="3" t="e">
        <f t="shared" si="13"/>
        <v>#VALUE!</v>
      </c>
      <c r="K34" s="8" t="e">
        <f t="shared" si="14"/>
        <v>#VALUE!</v>
      </c>
      <c r="L34" s="13"/>
      <c r="M34" s="16" t="e">
        <f t="shared" si="10"/>
        <v>#VALUE!</v>
      </c>
      <c r="N34" s="8" t="e">
        <f t="shared" si="12"/>
        <v>#VALUE!</v>
      </c>
    </row>
    <row r="35" spans="3:14" ht="15.75" thickBot="1" x14ac:dyDescent="0.3">
      <c r="C35" s="7">
        <v>2031</v>
      </c>
      <c r="D35" s="22">
        <f>IF(Feuil1!$F$8="oui",0,2)+IF(Feuil1!$F$5="Employé",7,IF(Feuil1!$F$5="Cadre 5",12,IF(Feuil1!$F$5="Cadre 6+7",12,15)))</f>
        <v>17</v>
      </c>
      <c r="E35" s="23">
        <f t="shared" si="11"/>
        <v>69</v>
      </c>
      <c r="F35" s="8">
        <f>E35*Feuil1!J3</f>
        <v>499.79598000000004</v>
      </c>
      <c r="G35" s="13"/>
      <c r="H35" s="9">
        <v>2023</v>
      </c>
      <c r="I35" s="10">
        <v>9</v>
      </c>
      <c r="J35" s="3" t="e">
        <f t="shared" si="13"/>
        <v>#VALUE!</v>
      </c>
      <c r="K35" s="11" t="e">
        <f>J35*Feuil1!J3</f>
        <v>#VALUE!</v>
      </c>
      <c r="L35" s="13"/>
      <c r="M35" s="16" t="e">
        <f t="shared" si="10"/>
        <v>#VALUE!</v>
      </c>
      <c r="N35" s="11" t="e">
        <f t="shared" si="12"/>
        <v>#VALUE!</v>
      </c>
    </row>
    <row r="36" spans="3:14" ht="15.75" thickBot="1" x14ac:dyDescent="0.3">
      <c r="N36" s="17" t="e">
        <f>N26+SUM(N32:N35)+O16</f>
        <v>#VALUE!</v>
      </c>
    </row>
    <row r="38" spans="3:14" ht="15.75" thickBot="1" x14ac:dyDescent="0.3"/>
    <row r="39" spans="3:14" ht="15.75" thickBot="1" x14ac:dyDescent="0.3">
      <c r="C39" s="129" t="s">
        <v>6</v>
      </c>
      <c r="D39" s="130"/>
      <c r="E39" s="130"/>
      <c r="F39" s="131"/>
      <c r="H39" s="129" t="s">
        <v>7</v>
      </c>
      <c r="I39" s="130"/>
      <c r="J39" s="130"/>
      <c r="K39" s="131"/>
    </row>
    <row r="40" spans="3:14" ht="45" x14ac:dyDescent="0.25">
      <c r="C40" s="5" t="s">
        <v>1</v>
      </c>
      <c r="D40" s="2" t="s">
        <v>11</v>
      </c>
      <c r="E40" s="2" t="s">
        <v>10</v>
      </c>
      <c r="F40" s="6" t="s">
        <v>8</v>
      </c>
      <c r="G40" s="19"/>
      <c r="H40" s="5" t="s">
        <v>1</v>
      </c>
      <c r="I40" s="2" t="s">
        <v>11</v>
      </c>
      <c r="J40" s="2" t="s">
        <v>2</v>
      </c>
      <c r="K40" s="6" t="s">
        <v>8</v>
      </c>
      <c r="L40" s="19"/>
      <c r="M40" s="14" t="s">
        <v>5</v>
      </c>
      <c r="N40" s="15" t="s">
        <v>9</v>
      </c>
    </row>
    <row r="41" spans="3:14" x14ac:dyDescent="0.25">
      <c r="C41" s="7">
        <v>2031</v>
      </c>
      <c r="D41" s="3"/>
      <c r="E41" s="3">
        <f>E35</f>
        <v>69</v>
      </c>
      <c r="F41" s="8">
        <f>F35</f>
        <v>499.79598000000004</v>
      </c>
      <c r="G41" s="13"/>
      <c r="H41" s="7">
        <v>2019</v>
      </c>
      <c r="I41" s="3"/>
      <c r="J41" s="3" t="e">
        <f>J35</f>
        <v>#VALUE!</v>
      </c>
      <c r="K41" s="8" t="e">
        <f>K35</f>
        <v>#VALUE!</v>
      </c>
      <c r="L41" s="13"/>
      <c r="M41" s="16" t="e">
        <f t="shared" ref="M41:M45" si="15">K41-F41</f>
        <v>#VALUE!</v>
      </c>
      <c r="N41" s="8" t="e">
        <f>M41*14</f>
        <v>#VALUE!</v>
      </c>
    </row>
    <row r="42" spans="3:14" x14ac:dyDescent="0.25">
      <c r="C42" s="7">
        <v>2032</v>
      </c>
      <c r="D42" s="4">
        <f>IF(Feuil1!$F$8="oui",0,2)</f>
        <v>2</v>
      </c>
      <c r="E42" s="3">
        <f t="shared" ref="E42:E45" si="16">E41+D42</f>
        <v>71</v>
      </c>
      <c r="F42" s="8">
        <f>E42*Feuil1!J3</f>
        <v>514.28282000000002</v>
      </c>
      <c r="G42" s="13"/>
      <c r="H42" s="7">
        <v>2020</v>
      </c>
      <c r="I42" s="4" t="s">
        <v>12</v>
      </c>
      <c r="J42" s="3" t="e">
        <f>J41+I42</f>
        <v>#VALUE!</v>
      </c>
      <c r="K42" s="8" t="e">
        <f>K41</f>
        <v>#VALUE!</v>
      </c>
      <c r="L42" s="13"/>
      <c r="M42" s="16" t="e">
        <f t="shared" si="15"/>
        <v>#VALUE!</v>
      </c>
      <c r="N42" s="8" t="e">
        <f t="shared" ref="N42:N45" si="17">M42*14</f>
        <v>#VALUE!</v>
      </c>
    </row>
    <row r="43" spans="3:14" x14ac:dyDescent="0.25">
      <c r="C43" s="7">
        <v>2033</v>
      </c>
      <c r="D43" s="4">
        <f>IF(Feuil1!$F$8="oui",0,2)</f>
        <v>2</v>
      </c>
      <c r="E43" s="3">
        <f t="shared" si="16"/>
        <v>73</v>
      </c>
      <c r="F43" s="8">
        <f>E43*Feuil1!J3</f>
        <v>528.76966000000004</v>
      </c>
      <c r="G43" s="13"/>
      <c r="H43" s="7">
        <v>2021</v>
      </c>
      <c r="I43" s="4" t="s">
        <v>12</v>
      </c>
      <c r="J43" s="3" t="e">
        <f t="shared" ref="J43:J45" si="18">J42+I43</f>
        <v>#VALUE!</v>
      </c>
      <c r="K43" s="8" t="e">
        <f t="shared" ref="K43:K44" si="19">K42</f>
        <v>#VALUE!</v>
      </c>
      <c r="L43" s="13"/>
      <c r="M43" s="16" t="e">
        <f t="shared" si="15"/>
        <v>#VALUE!</v>
      </c>
      <c r="N43" s="8" t="e">
        <f t="shared" si="17"/>
        <v>#VALUE!</v>
      </c>
    </row>
    <row r="44" spans="3:14" x14ac:dyDescent="0.25">
      <c r="C44" s="7">
        <v>2034</v>
      </c>
      <c r="D44" s="4">
        <f>IF(Feuil1!$F$8="oui",0,2)</f>
        <v>2</v>
      </c>
      <c r="E44" s="3">
        <f t="shared" si="16"/>
        <v>75</v>
      </c>
      <c r="F44" s="8">
        <f>E44*Feuil1!J3</f>
        <v>543.25650000000007</v>
      </c>
      <c r="G44" s="13"/>
      <c r="H44" s="7">
        <v>2022</v>
      </c>
      <c r="I44" s="4" t="s">
        <v>12</v>
      </c>
      <c r="J44" s="3" t="e">
        <f t="shared" si="18"/>
        <v>#VALUE!</v>
      </c>
      <c r="K44" s="8" t="e">
        <f t="shared" si="19"/>
        <v>#VALUE!</v>
      </c>
      <c r="L44" s="13"/>
      <c r="M44" s="16" t="e">
        <f t="shared" si="15"/>
        <v>#VALUE!</v>
      </c>
      <c r="N44" s="8" t="e">
        <f t="shared" si="17"/>
        <v>#VALUE!</v>
      </c>
    </row>
    <row r="45" spans="3:14" ht="15.75" thickBot="1" x14ac:dyDescent="0.3">
      <c r="C45" s="7">
        <v>2035</v>
      </c>
      <c r="D45" s="22">
        <f>IF(Feuil1!$F$8="oui",0,2)+IF(Feuil1!$F$5="Employé",7,IF(Feuil1!$F$5="Cadre 5",12,IF(Feuil1!$F$5="Cadre 6+7",12,15)))</f>
        <v>17</v>
      </c>
      <c r="E45" s="23">
        <f t="shared" si="16"/>
        <v>92</v>
      </c>
      <c r="F45" s="8">
        <f>E45*Feuil1!J3</f>
        <v>666.39463999999998</v>
      </c>
      <c r="G45" s="13"/>
      <c r="H45" s="9">
        <v>2023</v>
      </c>
      <c r="I45" s="10">
        <v>9</v>
      </c>
      <c r="J45" s="3" t="e">
        <f t="shared" si="18"/>
        <v>#VALUE!</v>
      </c>
      <c r="K45" s="11" t="e">
        <f>J45*Feuil1!J3</f>
        <v>#VALUE!</v>
      </c>
      <c r="L45" s="13"/>
      <c r="M45" s="16" t="e">
        <f t="shared" si="15"/>
        <v>#VALUE!</v>
      </c>
      <c r="N45" s="11" t="e">
        <f t="shared" si="17"/>
        <v>#VALUE!</v>
      </c>
    </row>
    <row r="46" spans="3:14" ht="15.75" thickBot="1" x14ac:dyDescent="0.3">
      <c r="N46" s="17" t="e">
        <f>N36+SUM(N42:N45)+O16</f>
        <v>#VALUE!</v>
      </c>
    </row>
  </sheetData>
  <mergeCells count="16">
    <mergeCell ref="C39:F39"/>
    <mergeCell ref="H39:K39"/>
    <mergeCell ref="C9:F9"/>
    <mergeCell ref="H9:K9"/>
    <mergeCell ref="C19:F19"/>
    <mergeCell ref="H19:K19"/>
    <mergeCell ref="C29:F29"/>
    <mergeCell ref="H29:K29"/>
    <mergeCell ref="Y21:AB21"/>
    <mergeCell ref="AC20:AF20"/>
    <mergeCell ref="AC21:AF21"/>
    <mergeCell ref="Y17:AB17"/>
    <mergeCell ref="AC17:AF17"/>
    <mergeCell ref="Y18:AB18"/>
    <mergeCell ref="AC18:AF18"/>
    <mergeCell ref="Y20:AB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9D386-2AC5-40EC-ACF2-A50B2904F802}">
  <dimension ref="A1:H66"/>
  <sheetViews>
    <sheetView windowProtection="1" topLeftCell="B17" zoomScale="80" zoomScaleNormal="80" workbookViewId="0">
      <selection activeCell="B63" sqref="B63"/>
    </sheetView>
  </sheetViews>
  <sheetFormatPr baseColWidth="10" defaultRowHeight="15" x14ac:dyDescent="0.25"/>
  <cols>
    <col min="1" max="1" width="154.140625" hidden="1" customWidth="1"/>
    <col min="2" max="2" width="116.7109375" bestFit="1" customWidth="1"/>
    <col min="3" max="3" width="12.140625" style="133" bestFit="1" customWidth="1"/>
  </cols>
  <sheetData>
    <row r="1" spans="1:8" s="133" customFormat="1" x14ac:dyDescent="0.25">
      <c r="B1" s="145" t="s">
        <v>240</v>
      </c>
      <c r="C1" s="145" t="s">
        <v>241</v>
      </c>
    </row>
    <row r="2" spans="1:8" x14ac:dyDescent="0.25">
      <c r="A2" s="132" t="s">
        <v>64</v>
      </c>
      <c r="B2" s="144" t="s">
        <v>220</v>
      </c>
      <c r="C2" s="145" t="s">
        <v>242</v>
      </c>
    </row>
    <row r="3" spans="1:8" x14ac:dyDescent="0.25">
      <c r="A3" s="132" t="s">
        <v>58</v>
      </c>
      <c r="B3" s="144" t="s">
        <v>224</v>
      </c>
      <c r="C3" s="145" t="s">
        <v>242</v>
      </c>
    </row>
    <row r="4" spans="1:8" x14ac:dyDescent="0.25">
      <c r="A4" s="132" t="s">
        <v>66</v>
      </c>
      <c r="B4" s="144" t="s">
        <v>228</v>
      </c>
      <c r="C4" s="145" t="s">
        <v>242</v>
      </c>
    </row>
    <row r="5" spans="1:8" x14ac:dyDescent="0.25">
      <c r="A5" s="132" t="s">
        <v>68</v>
      </c>
      <c r="B5" s="144" t="s">
        <v>57</v>
      </c>
      <c r="C5" s="145" t="s">
        <v>243</v>
      </c>
    </row>
    <row r="6" spans="1:8" x14ac:dyDescent="0.25">
      <c r="A6" s="132" t="s">
        <v>70</v>
      </c>
      <c r="B6" s="144" t="s">
        <v>65</v>
      </c>
      <c r="C6" s="145" t="s">
        <v>243</v>
      </c>
    </row>
    <row r="7" spans="1:8" x14ac:dyDescent="0.25">
      <c r="A7" s="132" t="s">
        <v>72</v>
      </c>
      <c r="B7" s="144" t="s">
        <v>67</v>
      </c>
      <c r="C7" s="145" t="s">
        <v>243</v>
      </c>
    </row>
    <row r="8" spans="1:8" x14ac:dyDescent="0.25">
      <c r="A8" s="132" t="s">
        <v>74</v>
      </c>
      <c r="B8" s="144" t="s">
        <v>71</v>
      </c>
      <c r="C8" s="145" t="s">
        <v>243</v>
      </c>
    </row>
    <row r="9" spans="1:8" x14ac:dyDescent="0.25">
      <c r="A9" s="132" t="s">
        <v>76</v>
      </c>
      <c r="B9" s="144" t="s">
        <v>73</v>
      </c>
      <c r="C9" s="145" t="s">
        <v>243</v>
      </c>
    </row>
    <row r="10" spans="1:8" x14ac:dyDescent="0.25">
      <c r="A10" s="132" t="s">
        <v>80</v>
      </c>
      <c r="B10" s="144" t="s">
        <v>75</v>
      </c>
      <c r="C10" s="145" t="s">
        <v>243</v>
      </c>
    </row>
    <row r="11" spans="1:8" x14ac:dyDescent="0.25">
      <c r="A11" s="132" t="s">
        <v>82</v>
      </c>
      <c r="B11" s="144" t="s">
        <v>77</v>
      </c>
      <c r="C11" s="145" t="s">
        <v>243</v>
      </c>
    </row>
    <row r="12" spans="1:8" x14ac:dyDescent="0.25">
      <c r="A12" s="132" t="s">
        <v>85</v>
      </c>
      <c r="B12" s="144" t="s">
        <v>81</v>
      </c>
      <c r="C12" s="145" t="s">
        <v>243</v>
      </c>
    </row>
    <row r="13" spans="1:8" x14ac:dyDescent="0.25">
      <c r="A13" s="132" t="s">
        <v>86</v>
      </c>
      <c r="B13" s="144" t="s">
        <v>84</v>
      </c>
      <c r="C13" s="145" t="s">
        <v>243</v>
      </c>
    </row>
    <row r="14" spans="1:8" x14ac:dyDescent="0.25">
      <c r="A14" s="132" t="s">
        <v>88</v>
      </c>
      <c r="B14" s="144" t="s">
        <v>87</v>
      </c>
      <c r="C14" s="145" t="s">
        <v>243</v>
      </c>
    </row>
    <row r="15" spans="1:8" x14ac:dyDescent="0.25">
      <c r="A15" s="132" t="s">
        <v>90</v>
      </c>
      <c r="B15" s="144" t="s">
        <v>89</v>
      </c>
      <c r="C15" s="145" t="s">
        <v>243</v>
      </c>
    </row>
    <row r="16" spans="1:8" x14ac:dyDescent="0.25">
      <c r="A16" s="132" t="s">
        <v>94</v>
      </c>
      <c r="B16" s="144" t="s">
        <v>91</v>
      </c>
      <c r="C16" s="145" t="s">
        <v>243</v>
      </c>
      <c r="H16" s="146" t="b">
        <f>IF(OR(COUNTIF(F4,"*Secrétaire*"),COUNTIF(F4,"*Technicien traitement de l'information*"),COUNTIF(F4,"*Agent de collectivité*")),"A")</f>
        <v>0</v>
      </c>
    </row>
    <row r="17" spans="1:3" x14ac:dyDescent="0.25">
      <c r="A17" s="132" t="s">
        <v>97</v>
      </c>
      <c r="B17" s="144" t="s">
        <v>95</v>
      </c>
      <c r="C17" s="145" t="s">
        <v>243</v>
      </c>
    </row>
    <row r="18" spans="1:3" x14ac:dyDescent="0.25">
      <c r="A18" s="132" t="s">
        <v>98</v>
      </c>
      <c r="B18" s="144" t="s">
        <v>96</v>
      </c>
      <c r="C18" s="145" t="s">
        <v>243</v>
      </c>
    </row>
    <row r="19" spans="1:3" x14ac:dyDescent="0.25">
      <c r="A19" s="132" t="s">
        <v>100</v>
      </c>
      <c r="B19" s="144" t="s">
        <v>99</v>
      </c>
      <c r="C19" s="145" t="s">
        <v>243</v>
      </c>
    </row>
    <row r="20" spans="1:3" x14ac:dyDescent="0.25">
      <c r="A20" s="132" t="s">
        <v>103</v>
      </c>
      <c r="B20" s="144" t="s">
        <v>101</v>
      </c>
      <c r="C20" s="145" t="s">
        <v>243</v>
      </c>
    </row>
    <row r="21" spans="1:3" x14ac:dyDescent="0.25">
      <c r="A21" s="132" t="s">
        <v>104</v>
      </c>
      <c r="B21" s="144" t="s">
        <v>83</v>
      </c>
      <c r="C21" s="145" t="s">
        <v>243</v>
      </c>
    </row>
    <row r="22" spans="1:3" x14ac:dyDescent="0.25">
      <c r="A22" s="132" t="s">
        <v>106</v>
      </c>
      <c r="B22" s="144" t="s">
        <v>196</v>
      </c>
      <c r="C22" s="145" t="s">
        <v>243</v>
      </c>
    </row>
    <row r="23" spans="1:3" x14ac:dyDescent="0.25">
      <c r="A23" s="132" t="s">
        <v>108</v>
      </c>
      <c r="B23" s="144" t="s">
        <v>200</v>
      </c>
      <c r="C23" s="145" t="s">
        <v>243</v>
      </c>
    </row>
    <row r="24" spans="1:3" x14ac:dyDescent="0.25">
      <c r="A24" s="132" t="s">
        <v>109</v>
      </c>
      <c r="B24" s="144" t="s">
        <v>204</v>
      </c>
      <c r="C24" s="145" t="s">
        <v>243</v>
      </c>
    </row>
    <row r="25" spans="1:3" x14ac:dyDescent="0.25">
      <c r="A25" s="132" t="s">
        <v>111</v>
      </c>
      <c r="B25" s="144" t="s">
        <v>206</v>
      </c>
      <c r="C25" s="145" t="s">
        <v>243</v>
      </c>
    </row>
    <row r="26" spans="1:3" x14ac:dyDescent="0.25">
      <c r="A26" s="132" t="s">
        <v>115</v>
      </c>
      <c r="B26" s="144" t="s">
        <v>63</v>
      </c>
      <c r="C26" s="145" t="s">
        <v>243</v>
      </c>
    </row>
    <row r="27" spans="1:3" x14ac:dyDescent="0.25">
      <c r="A27" s="132" t="s">
        <v>118</v>
      </c>
      <c r="B27" s="144" t="s">
        <v>215</v>
      </c>
      <c r="C27" s="145" t="s">
        <v>243</v>
      </c>
    </row>
    <row r="28" spans="1:3" x14ac:dyDescent="0.25">
      <c r="A28" s="132" t="s">
        <v>119</v>
      </c>
      <c r="B28" s="144" t="s">
        <v>222</v>
      </c>
      <c r="C28" s="145" t="s">
        <v>243</v>
      </c>
    </row>
    <row r="29" spans="1:3" x14ac:dyDescent="0.25">
      <c r="A29" s="132" t="s">
        <v>121</v>
      </c>
      <c r="B29" s="144" t="s">
        <v>230</v>
      </c>
      <c r="C29" s="145" t="s">
        <v>243</v>
      </c>
    </row>
    <row r="30" spans="1:3" x14ac:dyDescent="0.25">
      <c r="A30" s="132" t="s">
        <v>123</v>
      </c>
      <c r="B30" s="144" t="s">
        <v>69</v>
      </c>
      <c r="C30" s="145" t="s">
        <v>244</v>
      </c>
    </row>
    <row r="31" spans="1:3" x14ac:dyDescent="0.25">
      <c r="A31" s="132" t="s">
        <v>124</v>
      </c>
      <c r="B31" s="144" t="s">
        <v>102</v>
      </c>
      <c r="C31" s="145" t="s">
        <v>244</v>
      </c>
    </row>
    <row r="32" spans="1:3" x14ac:dyDescent="0.25">
      <c r="A32" s="132" t="s">
        <v>130</v>
      </c>
      <c r="B32" s="144" t="s">
        <v>105</v>
      </c>
      <c r="C32" s="145" t="s">
        <v>244</v>
      </c>
    </row>
    <row r="33" spans="1:3" x14ac:dyDescent="0.25">
      <c r="A33" s="132" t="s">
        <v>132</v>
      </c>
      <c r="B33" s="144" t="s">
        <v>102</v>
      </c>
      <c r="C33" s="145" t="s">
        <v>244</v>
      </c>
    </row>
    <row r="34" spans="1:3" x14ac:dyDescent="0.25">
      <c r="A34" s="132" t="s">
        <v>144</v>
      </c>
      <c r="B34" s="144" t="s">
        <v>107</v>
      </c>
      <c r="C34" s="145" t="s">
        <v>244</v>
      </c>
    </row>
    <row r="35" spans="1:3" x14ac:dyDescent="0.25">
      <c r="A35" s="132" t="s">
        <v>146</v>
      </c>
      <c r="B35" s="144" t="s">
        <v>110</v>
      </c>
      <c r="C35" s="145" t="s">
        <v>244</v>
      </c>
    </row>
    <row r="36" spans="1:3" x14ac:dyDescent="0.25">
      <c r="A36" s="132" t="s">
        <v>183</v>
      </c>
      <c r="B36" s="144" t="s">
        <v>112</v>
      </c>
      <c r="C36" s="145" t="s">
        <v>244</v>
      </c>
    </row>
    <row r="37" spans="1:3" x14ac:dyDescent="0.25">
      <c r="A37" s="132" t="s">
        <v>191</v>
      </c>
      <c r="B37" s="144" t="s">
        <v>116</v>
      </c>
      <c r="C37" s="145" t="s">
        <v>244</v>
      </c>
    </row>
    <row r="38" spans="1:3" x14ac:dyDescent="0.25">
      <c r="A38" s="132" t="s">
        <v>195</v>
      </c>
      <c r="B38" s="144" t="s">
        <v>125</v>
      </c>
      <c r="C38" s="145" t="s">
        <v>244</v>
      </c>
    </row>
    <row r="39" spans="1:3" x14ac:dyDescent="0.25">
      <c r="A39" s="132" t="s">
        <v>197</v>
      </c>
      <c r="B39" s="144" t="s">
        <v>192</v>
      </c>
      <c r="C39" s="145" t="s">
        <v>244</v>
      </c>
    </row>
    <row r="40" spans="1:3" x14ac:dyDescent="0.25">
      <c r="A40" s="132" t="s">
        <v>199</v>
      </c>
      <c r="B40" s="144" t="s">
        <v>202</v>
      </c>
      <c r="C40" s="145" t="s">
        <v>244</v>
      </c>
    </row>
    <row r="41" spans="1:3" x14ac:dyDescent="0.25">
      <c r="A41" s="132" t="s">
        <v>201</v>
      </c>
      <c r="B41" s="144" t="s">
        <v>208</v>
      </c>
      <c r="C41" s="145" t="s">
        <v>244</v>
      </c>
    </row>
    <row r="42" spans="1:3" x14ac:dyDescent="0.25">
      <c r="A42" s="132" t="s">
        <v>203</v>
      </c>
      <c r="B42" s="144" t="s">
        <v>211</v>
      </c>
      <c r="C42" s="145" t="s">
        <v>244</v>
      </c>
    </row>
    <row r="43" spans="1:3" x14ac:dyDescent="0.25">
      <c r="A43" s="132" t="s">
        <v>205</v>
      </c>
      <c r="B43" s="144" t="s">
        <v>217</v>
      </c>
      <c r="C43" s="145" t="s">
        <v>244</v>
      </c>
    </row>
    <row r="44" spans="1:3" x14ac:dyDescent="0.25">
      <c r="A44" s="132" t="s">
        <v>207</v>
      </c>
      <c r="B44" s="144" t="s">
        <v>61</v>
      </c>
      <c r="C44" s="145" t="s">
        <v>244</v>
      </c>
    </row>
    <row r="45" spans="1:3" x14ac:dyDescent="0.25">
      <c r="A45" s="132" t="s">
        <v>209</v>
      </c>
      <c r="B45" s="144" t="s">
        <v>226</v>
      </c>
      <c r="C45" s="145" t="s">
        <v>244</v>
      </c>
    </row>
    <row r="46" spans="1:3" x14ac:dyDescent="0.25">
      <c r="A46" s="132" t="s">
        <v>210</v>
      </c>
      <c r="B46" s="144" t="s">
        <v>184</v>
      </c>
      <c r="C46" s="145" t="s">
        <v>245</v>
      </c>
    </row>
    <row r="47" spans="1:3" x14ac:dyDescent="0.25">
      <c r="A47" s="132" t="s">
        <v>214</v>
      </c>
      <c r="B47" s="144" t="s">
        <v>117</v>
      </c>
      <c r="C47" s="145" t="s">
        <v>245</v>
      </c>
    </row>
    <row r="48" spans="1:3" x14ac:dyDescent="0.25">
      <c r="A48" s="132" t="s">
        <v>216</v>
      </c>
      <c r="B48" s="144" t="s">
        <v>122</v>
      </c>
      <c r="C48" s="145" t="s">
        <v>245</v>
      </c>
    </row>
    <row r="49" spans="1:3" x14ac:dyDescent="0.25">
      <c r="A49" s="132" t="s">
        <v>218</v>
      </c>
      <c r="B49" s="144" t="s">
        <v>59</v>
      </c>
      <c r="C49" s="145" t="s">
        <v>245</v>
      </c>
    </row>
    <row r="50" spans="1:3" x14ac:dyDescent="0.25">
      <c r="A50" s="132" t="s">
        <v>221</v>
      </c>
      <c r="B50" s="144" t="s">
        <v>131</v>
      </c>
      <c r="C50" s="145" t="s">
        <v>245</v>
      </c>
    </row>
    <row r="51" spans="1:3" x14ac:dyDescent="0.25">
      <c r="A51" s="132" t="s">
        <v>219</v>
      </c>
      <c r="B51" s="144" t="s">
        <v>133</v>
      </c>
      <c r="C51" s="145" t="s">
        <v>245</v>
      </c>
    </row>
    <row r="52" spans="1:3" x14ac:dyDescent="0.25">
      <c r="A52" s="132" t="s">
        <v>223</v>
      </c>
      <c r="B52" s="144" t="s">
        <v>198</v>
      </c>
      <c r="C52" s="145" t="s">
        <v>245</v>
      </c>
    </row>
    <row r="53" spans="1:3" x14ac:dyDescent="0.25">
      <c r="A53" s="132" t="s">
        <v>225</v>
      </c>
      <c r="B53" s="144" t="s">
        <v>232</v>
      </c>
      <c r="C53" s="145" t="s">
        <v>246</v>
      </c>
    </row>
    <row r="54" spans="1:3" x14ac:dyDescent="0.25">
      <c r="A54" s="132" t="s">
        <v>227</v>
      </c>
      <c r="B54" s="144" t="s">
        <v>120</v>
      </c>
      <c r="C54" s="145" t="s">
        <v>247</v>
      </c>
    </row>
    <row r="55" spans="1:3" x14ac:dyDescent="0.25">
      <c r="A55" s="132" t="s">
        <v>229</v>
      </c>
      <c r="B55" s="144" t="s">
        <v>60</v>
      </c>
      <c r="C55" s="145" t="s">
        <v>247</v>
      </c>
    </row>
    <row r="56" spans="1:3" x14ac:dyDescent="0.25">
      <c r="A56" s="132" t="s">
        <v>231</v>
      </c>
      <c r="B56" s="144" t="s">
        <v>237</v>
      </c>
      <c r="C56" s="145" t="s">
        <v>248</v>
      </c>
    </row>
    <row r="57" spans="1:3" x14ac:dyDescent="0.25">
      <c r="A57" s="132" t="s">
        <v>236</v>
      </c>
      <c r="B57" s="144" t="s">
        <v>239</v>
      </c>
      <c r="C57" s="145" t="s">
        <v>248</v>
      </c>
    </row>
    <row r="58" spans="1:3" x14ac:dyDescent="0.25">
      <c r="A58" s="132" t="s">
        <v>238</v>
      </c>
      <c r="B58" s="144" t="s">
        <v>145</v>
      </c>
      <c r="C58" s="145" t="s">
        <v>249</v>
      </c>
    </row>
    <row r="59" spans="1:3" x14ac:dyDescent="0.25">
      <c r="B59" s="144"/>
      <c r="C59" s="145"/>
    </row>
    <row r="60" spans="1:3" x14ac:dyDescent="0.25">
      <c r="B60" s="144"/>
      <c r="C60" s="145"/>
    </row>
    <row r="61" spans="1:3" x14ac:dyDescent="0.25">
      <c r="B61" s="144"/>
      <c r="C61" s="145"/>
    </row>
    <row r="62" spans="1:3" x14ac:dyDescent="0.25">
      <c r="B62" s="144"/>
      <c r="C62" s="145"/>
    </row>
    <row r="63" spans="1:3" x14ac:dyDescent="0.25">
      <c r="B63" s="144"/>
      <c r="C63" s="145"/>
    </row>
    <row r="64" spans="1:3" x14ac:dyDescent="0.25">
      <c r="B64" s="144"/>
      <c r="C64" s="145"/>
    </row>
    <row r="65" spans="2:3" x14ac:dyDescent="0.25">
      <c r="B65" s="144"/>
      <c r="C65" s="145"/>
    </row>
    <row r="66" spans="2:3" x14ac:dyDescent="0.25">
      <c r="B66" s="144"/>
      <c r="C66" s="145"/>
    </row>
  </sheetData>
  <autoFilter ref="B1:C58" xr:uid="{AB302800-5D88-45ED-9F1B-310B2801E123}">
    <sortState xmlns:xlrd2="http://schemas.microsoft.com/office/spreadsheetml/2017/richdata2" ref="B2:C58">
      <sortCondition ref="C1:C58"/>
    </sortState>
  </autoFilter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803E-9537-4AA7-8DC9-116C9625E1EA}">
  <dimension ref="A1:C93"/>
  <sheetViews>
    <sheetView windowProtection="1" topLeftCell="A25" workbookViewId="0">
      <selection activeCell="B34" sqref="B34"/>
    </sheetView>
  </sheetViews>
  <sheetFormatPr baseColWidth="10" defaultRowHeight="15" x14ac:dyDescent="0.25"/>
  <cols>
    <col min="2" max="2" width="116.7109375" bestFit="1" customWidth="1"/>
  </cols>
  <sheetData>
    <row r="1" spans="1:3" x14ac:dyDescent="0.25">
      <c r="A1" s="133"/>
      <c r="B1" s="145" t="s">
        <v>240</v>
      </c>
      <c r="C1" s="145" t="s">
        <v>241</v>
      </c>
    </row>
    <row r="2" spans="1:3" x14ac:dyDescent="0.25">
      <c r="A2" s="132" t="s">
        <v>64</v>
      </c>
      <c r="B2" s="144" t="s">
        <v>220</v>
      </c>
      <c r="C2" s="145" t="s">
        <v>242</v>
      </c>
    </row>
    <row r="3" spans="1:3" x14ac:dyDescent="0.25">
      <c r="A3" s="132" t="s">
        <v>58</v>
      </c>
      <c r="B3" s="144" t="s">
        <v>224</v>
      </c>
      <c r="C3" s="145" t="s">
        <v>242</v>
      </c>
    </row>
    <row r="4" spans="1:3" x14ac:dyDescent="0.25">
      <c r="A4" s="132" t="s">
        <v>66</v>
      </c>
      <c r="B4" s="144" t="s">
        <v>228</v>
      </c>
      <c r="C4" s="145" t="s">
        <v>242</v>
      </c>
    </row>
    <row r="5" spans="1:3" x14ac:dyDescent="0.25">
      <c r="A5" s="132" t="s">
        <v>68</v>
      </c>
      <c r="B5" s="144" t="s">
        <v>57</v>
      </c>
      <c r="C5" s="145" t="s">
        <v>243</v>
      </c>
    </row>
    <row r="6" spans="1:3" x14ac:dyDescent="0.25">
      <c r="A6" s="132" t="s">
        <v>70</v>
      </c>
      <c r="B6" s="144" t="s">
        <v>65</v>
      </c>
      <c r="C6" s="145" t="s">
        <v>243</v>
      </c>
    </row>
    <row r="7" spans="1:3" x14ac:dyDescent="0.25">
      <c r="A7" s="132" t="s">
        <v>72</v>
      </c>
      <c r="B7" s="144" t="s">
        <v>67</v>
      </c>
      <c r="C7" s="145" t="s">
        <v>243</v>
      </c>
    </row>
    <row r="8" spans="1:3" x14ac:dyDescent="0.25">
      <c r="A8" s="132" t="s">
        <v>74</v>
      </c>
      <c r="B8" s="144" t="s">
        <v>71</v>
      </c>
      <c r="C8" s="145" t="s">
        <v>243</v>
      </c>
    </row>
    <row r="9" spans="1:3" x14ac:dyDescent="0.25">
      <c r="A9" s="132" t="s">
        <v>76</v>
      </c>
      <c r="B9" s="144" t="s">
        <v>73</v>
      </c>
      <c r="C9" s="145" t="s">
        <v>243</v>
      </c>
    </row>
    <row r="10" spans="1:3" x14ac:dyDescent="0.25">
      <c r="A10" s="132" t="s">
        <v>78</v>
      </c>
      <c r="B10" s="144" t="s">
        <v>79</v>
      </c>
      <c r="C10" s="145"/>
    </row>
    <row r="11" spans="1:3" x14ac:dyDescent="0.25">
      <c r="A11" s="132" t="s">
        <v>80</v>
      </c>
      <c r="B11" s="144" t="s">
        <v>75</v>
      </c>
      <c r="C11" s="145" t="s">
        <v>243</v>
      </c>
    </row>
    <row r="12" spans="1:3" x14ac:dyDescent="0.25">
      <c r="A12" s="132" t="s">
        <v>82</v>
      </c>
      <c r="B12" s="144" t="s">
        <v>77</v>
      </c>
      <c r="C12" s="145" t="s">
        <v>243</v>
      </c>
    </row>
    <row r="13" spans="1:3" x14ac:dyDescent="0.25">
      <c r="A13" s="132" t="s">
        <v>85</v>
      </c>
      <c r="B13" s="144" t="s">
        <v>81</v>
      </c>
      <c r="C13" s="145" t="s">
        <v>243</v>
      </c>
    </row>
    <row r="14" spans="1:3" x14ac:dyDescent="0.25">
      <c r="A14" s="132" t="s">
        <v>86</v>
      </c>
      <c r="B14" s="144" t="s">
        <v>84</v>
      </c>
      <c r="C14" s="145" t="s">
        <v>243</v>
      </c>
    </row>
    <row r="15" spans="1:3" x14ac:dyDescent="0.25">
      <c r="A15" s="132" t="s">
        <v>88</v>
      </c>
      <c r="B15" s="144" t="s">
        <v>87</v>
      </c>
      <c r="C15" s="145" t="s">
        <v>243</v>
      </c>
    </row>
    <row r="16" spans="1:3" x14ac:dyDescent="0.25">
      <c r="A16" s="132" t="s">
        <v>90</v>
      </c>
      <c r="B16" s="144" t="s">
        <v>89</v>
      </c>
      <c r="C16" s="145" t="s">
        <v>243</v>
      </c>
    </row>
    <row r="17" spans="1:3" x14ac:dyDescent="0.25">
      <c r="A17" s="132" t="s">
        <v>92</v>
      </c>
      <c r="B17" s="144" t="s">
        <v>93</v>
      </c>
      <c r="C17" s="145"/>
    </row>
    <row r="18" spans="1:3" x14ac:dyDescent="0.25">
      <c r="A18" s="132" t="s">
        <v>94</v>
      </c>
      <c r="B18" s="144" t="s">
        <v>91</v>
      </c>
      <c r="C18" s="145" t="s">
        <v>243</v>
      </c>
    </row>
    <row r="19" spans="1:3" x14ac:dyDescent="0.25">
      <c r="A19" s="132" t="s">
        <v>97</v>
      </c>
      <c r="B19" s="144" t="s">
        <v>95</v>
      </c>
      <c r="C19" s="145" t="s">
        <v>243</v>
      </c>
    </row>
    <row r="20" spans="1:3" x14ac:dyDescent="0.25">
      <c r="A20" s="132" t="s">
        <v>98</v>
      </c>
      <c r="B20" s="144" t="s">
        <v>96</v>
      </c>
      <c r="C20" s="145" t="s">
        <v>243</v>
      </c>
    </row>
    <row r="21" spans="1:3" x14ac:dyDescent="0.25">
      <c r="A21" s="132" t="s">
        <v>100</v>
      </c>
      <c r="B21" s="144" t="s">
        <v>99</v>
      </c>
      <c r="C21" s="145" t="s">
        <v>243</v>
      </c>
    </row>
    <row r="22" spans="1:3" x14ac:dyDescent="0.25">
      <c r="A22" s="132" t="s">
        <v>103</v>
      </c>
      <c r="B22" s="144" t="s">
        <v>101</v>
      </c>
      <c r="C22" s="145" t="s">
        <v>243</v>
      </c>
    </row>
    <row r="23" spans="1:3" x14ac:dyDescent="0.25">
      <c r="A23" s="132" t="s">
        <v>104</v>
      </c>
      <c r="B23" s="144" t="s">
        <v>83</v>
      </c>
      <c r="C23" s="145" t="s">
        <v>243</v>
      </c>
    </row>
    <row r="24" spans="1:3" x14ac:dyDescent="0.25">
      <c r="A24" s="132" t="s">
        <v>106</v>
      </c>
      <c r="B24" s="144" t="s">
        <v>196</v>
      </c>
      <c r="C24" s="145" t="s">
        <v>243</v>
      </c>
    </row>
    <row r="25" spans="1:3" x14ac:dyDescent="0.25">
      <c r="A25" s="132" t="s">
        <v>108</v>
      </c>
      <c r="B25" s="144" t="s">
        <v>200</v>
      </c>
      <c r="C25" s="145" t="s">
        <v>243</v>
      </c>
    </row>
    <row r="26" spans="1:3" x14ac:dyDescent="0.25">
      <c r="A26" s="132" t="s">
        <v>109</v>
      </c>
      <c r="B26" s="144" t="s">
        <v>204</v>
      </c>
      <c r="C26" s="145" t="s">
        <v>243</v>
      </c>
    </row>
    <row r="27" spans="1:3" x14ac:dyDescent="0.25">
      <c r="A27" s="132" t="s">
        <v>111</v>
      </c>
      <c r="B27" s="144" t="s">
        <v>206</v>
      </c>
      <c r="C27" s="145" t="s">
        <v>243</v>
      </c>
    </row>
    <row r="28" spans="1:3" x14ac:dyDescent="0.25">
      <c r="A28" s="132" t="s">
        <v>113</v>
      </c>
      <c r="B28" s="144" t="s">
        <v>114</v>
      </c>
      <c r="C28" s="145"/>
    </row>
    <row r="29" spans="1:3" x14ac:dyDescent="0.25">
      <c r="A29" s="132" t="s">
        <v>115</v>
      </c>
      <c r="B29" s="144" t="s">
        <v>63</v>
      </c>
      <c r="C29" s="145" t="s">
        <v>243</v>
      </c>
    </row>
    <row r="30" spans="1:3" x14ac:dyDescent="0.25">
      <c r="A30" s="132" t="s">
        <v>118</v>
      </c>
      <c r="B30" s="144" t="s">
        <v>215</v>
      </c>
      <c r="C30" s="145" t="s">
        <v>243</v>
      </c>
    </row>
    <row r="31" spans="1:3" x14ac:dyDescent="0.25">
      <c r="A31" s="132" t="s">
        <v>119</v>
      </c>
      <c r="B31" s="144" t="s">
        <v>222</v>
      </c>
      <c r="C31" s="145" t="s">
        <v>243</v>
      </c>
    </row>
    <row r="32" spans="1:3" x14ac:dyDescent="0.25">
      <c r="A32" s="132" t="s">
        <v>121</v>
      </c>
      <c r="B32" s="144" t="s">
        <v>230</v>
      </c>
      <c r="C32" s="145" t="s">
        <v>243</v>
      </c>
    </row>
    <row r="33" spans="1:3" x14ac:dyDescent="0.25">
      <c r="A33" s="132" t="s">
        <v>123</v>
      </c>
      <c r="B33" s="144" t="s">
        <v>69</v>
      </c>
      <c r="C33" s="145" t="s">
        <v>244</v>
      </c>
    </row>
    <row r="34" spans="1:3" x14ac:dyDescent="0.25">
      <c r="A34" s="132" t="s">
        <v>124</v>
      </c>
      <c r="B34" s="144" t="s">
        <v>102</v>
      </c>
      <c r="C34" s="145" t="s">
        <v>244</v>
      </c>
    </row>
    <row r="35" spans="1:3" x14ac:dyDescent="0.25">
      <c r="A35" s="132" t="s">
        <v>126</v>
      </c>
      <c r="B35" s="144" t="s">
        <v>127</v>
      </c>
      <c r="C35" s="145"/>
    </row>
    <row r="36" spans="1:3" x14ac:dyDescent="0.25">
      <c r="A36" s="132" t="s">
        <v>129</v>
      </c>
      <c r="B36" s="144" t="s">
        <v>128</v>
      </c>
      <c r="C36" s="145"/>
    </row>
    <row r="37" spans="1:3" x14ac:dyDescent="0.25">
      <c r="A37" s="132" t="s">
        <v>130</v>
      </c>
      <c r="B37" s="144" t="s">
        <v>105</v>
      </c>
      <c r="C37" s="145" t="s">
        <v>244</v>
      </c>
    </row>
    <row r="38" spans="1:3" x14ac:dyDescent="0.25">
      <c r="A38" s="132" t="s">
        <v>132</v>
      </c>
      <c r="B38" s="144" t="s">
        <v>102</v>
      </c>
      <c r="C38" s="145" t="s">
        <v>244</v>
      </c>
    </row>
    <row r="39" spans="1:3" x14ac:dyDescent="0.25">
      <c r="A39" s="132" t="s">
        <v>134</v>
      </c>
      <c r="B39" s="144" t="s">
        <v>135</v>
      </c>
      <c r="C39" s="145"/>
    </row>
    <row r="40" spans="1:3" x14ac:dyDescent="0.25">
      <c r="A40" s="132" t="s">
        <v>136</v>
      </c>
      <c r="B40" s="144" t="s">
        <v>137</v>
      </c>
      <c r="C40" s="145"/>
    </row>
    <row r="41" spans="1:3" x14ac:dyDescent="0.25">
      <c r="A41" s="132" t="s">
        <v>138</v>
      </c>
      <c r="B41" s="144" t="s">
        <v>139</v>
      </c>
      <c r="C41" s="145"/>
    </row>
    <row r="42" spans="1:3" x14ac:dyDescent="0.25">
      <c r="A42" s="132" t="s">
        <v>140</v>
      </c>
      <c r="B42" s="144" t="s">
        <v>141</v>
      </c>
      <c r="C42" s="145"/>
    </row>
    <row r="43" spans="1:3" x14ac:dyDescent="0.25">
      <c r="A43" s="132" t="s">
        <v>142</v>
      </c>
      <c r="B43" s="144" t="s">
        <v>143</v>
      </c>
      <c r="C43" s="145"/>
    </row>
    <row r="44" spans="1:3" x14ac:dyDescent="0.25">
      <c r="A44" s="132" t="s">
        <v>144</v>
      </c>
      <c r="B44" s="144" t="s">
        <v>107</v>
      </c>
      <c r="C44" s="145" t="s">
        <v>244</v>
      </c>
    </row>
    <row r="45" spans="1:3" x14ac:dyDescent="0.25">
      <c r="A45" s="132" t="s">
        <v>146</v>
      </c>
      <c r="B45" s="144" t="s">
        <v>110</v>
      </c>
      <c r="C45" s="145" t="s">
        <v>244</v>
      </c>
    </row>
    <row r="46" spans="1:3" x14ac:dyDescent="0.25">
      <c r="A46" s="132" t="s">
        <v>147</v>
      </c>
      <c r="B46" s="144" t="s">
        <v>148</v>
      </c>
      <c r="C46" s="145"/>
    </row>
    <row r="47" spans="1:3" x14ac:dyDescent="0.25">
      <c r="A47" s="132" t="s">
        <v>149</v>
      </c>
      <c r="B47" s="144" t="s">
        <v>150</v>
      </c>
      <c r="C47" s="145"/>
    </row>
    <row r="48" spans="1:3" x14ac:dyDescent="0.25">
      <c r="A48" s="132" t="s">
        <v>151</v>
      </c>
      <c r="B48" s="144" t="s">
        <v>152</v>
      </c>
      <c r="C48" s="145"/>
    </row>
    <row r="49" spans="1:3" x14ac:dyDescent="0.25">
      <c r="A49" s="132" t="s">
        <v>153</v>
      </c>
      <c r="B49" s="144" t="s">
        <v>154</v>
      </c>
      <c r="C49" s="145"/>
    </row>
    <row r="50" spans="1:3" x14ac:dyDescent="0.25">
      <c r="A50" s="132" t="s">
        <v>155</v>
      </c>
      <c r="B50" s="144" t="s">
        <v>156</v>
      </c>
      <c r="C50" s="145"/>
    </row>
    <row r="51" spans="1:3" x14ac:dyDescent="0.25">
      <c r="A51" s="132" t="s">
        <v>157</v>
      </c>
      <c r="B51" s="144" t="s">
        <v>158</v>
      </c>
      <c r="C51" s="145"/>
    </row>
    <row r="52" spans="1:3" x14ac:dyDescent="0.25">
      <c r="A52" s="132" t="s">
        <v>159</v>
      </c>
      <c r="B52" s="144" t="s">
        <v>160</v>
      </c>
      <c r="C52" s="145"/>
    </row>
    <row r="53" spans="1:3" x14ac:dyDescent="0.25">
      <c r="A53" s="132" t="s">
        <v>161</v>
      </c>
      <c r="B53" s="144" t="s">
        <v>162</v>
      </c>
      <c r="C53" s="145"/>
    </row>
    <row r="54" spans="1:3" x14ac:dyDescent="0.25">
      <c r="A54" s="132" t="s">
        <v>163</v>
      </c>
      <c r="B54" s="144" t="s">
        <v>164</v>
      </c>
      <c r="C54" s="145"/>
    </row>
    <row r="55" spans="1:3" x14ac:dyDescent="0.25">
      <c r="A55" s="132" t="s">
        <v>165</v>
      </c>
      <c r="B55" s="144" t="s">
        <v>166</v>
      </c>
      <c r="C55" s="145"/>
    </row>
    <row r="56" spans="1:3" x14ac:dyDescent="0.25">
      <c r="A56" s="132" t="s">
        <v>167</v>
      </c>
      <c r="B56" s="144" t="s">
        <v>168</v>
      </c>
      <c r="C56" s="145"/>
    </row>
    <row r="57" spans="1:3" x14ac:dyDescent="0.25">
      <c r="A57" s="132" t="s">
        <v>169</v>
      </c>
      <c r="B57" s="144" t="s">
        <v>170</v>
      </c>
      <c r="C57" s="145"/>
    </row>
    <row r="58" spans="1:3" x14ac:dyDescent="0.25">
      <c r="A58" s="132" t="s">
        <v>171</v>
      </c>
      <c r="B58" s="144" t="s">
        <v>172</v>
      </c>
      <c r="C58" s="145"/>
    </row>
    <row r="59" spans="1:3" x14ac:dyDescent="0.25">
      <c r="A59" s="132" t="s">
        <v>173</v>
      </c>
      <c r="B59" s="144" t="s">
        <v>174</v>
      </c>
      <c r="C59" s="145"/>
    </row>
    <row r="60" spans="1:3" x14ac:dyDescent="0.25">
      <c r="A60" s="132" t="s">
        <v>175</v>
      </c>
      <c r="B60" s="144" t="s">
        <v>176</v>
      </c>
      <c r="C60" s="145"/>
    </row>
    <row r="61" spans="1:3" x14ac:dyDescent="0.25">
      <c r="A61" s="132" t="s">
        <v>177</v>
      </c>
      <c r="B61" s="144" t="s">
        <v>178</v>
      </c>
      <c r="C61" s="145"/>
    </row>
    <row r="62" spans="1:3" x14ac:dyDescent="0.25">
      <c r="A62" s="132" t="s">
        <v>179</v>
      </c>
      <c r="B62" s="144" t="s">
        <v>180</v>
      </c>
      <c r="C62" s="145"/>
    </row>
    <row r="63" spans="1:3" x14ac:dyDescent="0.25">
      <c r="A63" s="132" t="s">
        <v>181</v>
      </c>
      <c r="B63" s="144" t="s">
        <v>182</v>
      </c>
      <c r="C63" s="145"/>
    </row>
    <row r="64" spans="1:3" x14ac:dyDescent="0.25">
      <c r="A64" s="132" t="s">
        <v>185</v>
      </c>
      <c r="B64" s="144" t="s">
        <v>186</v>
      </c>
      <c r="C64" s="145"/>
    </row>
    <row r="65" spans="1:3" x14ac:dyDescent="0.25">
      <c r="A65" s="132" t="s">
        <v>183</v>
      </c>
      <c r="B65" s="144" t="s">
        <v>112</v>
      </c>
      <c r="C65" s="145" t="s">
        <v>244</v>
      </c>
    </row>
    <row r="66" spans="1:3" x14ac:dyDescent="0.25">
      <c r="A66" s="132" t="s">
        <v>187</v>
      </c>
      <c r="B66" s="144" t="s">
        <v>188</v>
      </c>
      <c r="C66" s="145"/>
    </row>
    <row r="67" spans="1:3" x14ac:dyDescent="0.25">
      <c r="A67" s="132" t="s">
        <v>189</v>
      </c>
      <c r="B67" s="144" t="s">
        <v>190</v>
      </c>
      <c r="C67" s="145"/>
    </row>
    <row r="68" spans="1:3" x14ac:dyDescent="0.25">
      <c r="A68" s="132" t="s">
        <v>191</v>
      </c>
      <c r="B68" s="144" t="s">
        <v>116</v>
      </c>
      <c r="C68" s="145" t="s">
        <v>244</v>
      </c>
    </row>
    <row r="69" spans="1:3" x14ac:dyDescent="0.25">
      <c r="A69" s="132" t="s">
        <v>193</v>
      </c>
      <c r="B69" s="144" t="s">
        <v>194</v>
      </c>
      <c r="C69" s="145"/>
    </row>
    <row r="70" spans="1:3" x14ac:dyDescent="0.25">
      <c r="A70" s="132" t="s">
        <v>195</v>
      </c>
      <c r="B70" s="144" t="s">
        <v>125</v>
      </c>
      <c r="C70" s="145" t="s">
        <v>244</v>
      </c>
    </row>
    <row r="71" spans="1:3" x14ac:dyDescent="0.25">
      <c r="A71" s="132" t="s">
        <v>197</v>
      </c>
      <c r="B71" s="144" t="s">
        <v>192</v>
      </c>
      <c r="C71" s="145" t="s">
        <v>244</v>
      </c>
    </row>
    <row r="72" spans="1:3" x14ac:dyDescent="0.25">
      <c r="A72" s="132" t="s">
        <v>199</v>
      </c>
      <c r="B72" s="144" t="s">
        <v>202</v>
      </c>
      <c r="C72" s="145" t="s">
        <v>244</v>
      </c>
    </row>
    <row r="73" spans="1:3" x14ac:dyDescent="0.25">
      <c r="A73" s="132" t="s">
        <v>201</v>
      </c>
      <c r="B73" s="144" t="s">
        <v>208</v>
      </c>
      <c r="C73" s="145" t="s">
        <v>244</v>
      </c>
    </row>
    <row r="74" spans="1:3" x14ac:dyDescent="0.25">
      <c r="A74" s="132" t="s">
        <v>203</v>
      </c>
      <c r="B74" s="144" t="s">
        <v>211</v>
      </c>
      <c r="C74" s="145" t="s">
        <v>244</v>
      </c>
    </row>
    <row r="75" spans="1:3" x14ac:dyDescent="0.25">
      <c r="A75" s="132" t="s">
        <v>205</v>
      </c>
      <c r="B75" s="144" t="s">
        <v>217</v>
      </c>
      <c r="C75" s="145" t="s">
        <v>244</v>
      </c>
    </row>
    <row r="76" spans="1:3" x14ac:dyDescent="0.25">
      <c r="A76" s="132" t="s">
        <v>207</v>
      </c>
      <c r="B76" s="144" t="s">
        <v>61</v>
      </c>
      <c r="C76" s="145" t="s">
        <v>244</v>
      </c>
    </row>
    <row r="77" spans="1:3" x14ac:dyDescent="0.25">
      <c r="A77" s="132" t="s">
        <v>209</v>
      </c>
      <c r="B77" s="144" t="s">
        <v>226</v>
      </c>
      <c r="C77" s="145" t="s">
        <v>244</v>
      </c>
    </row>
    <row r="78" spans="1:3" x14ac:dyDescent="0.25">
      <c r="A78" s="132" t="s">
        <v>210</v>
      </c>
      <c r="B78" s="144" t="s">
        <v>184</v>
      </c>
      <c r="C78" s="145" t="s">
        <v>245</v>
      </c>
    </row>
    <row r="79" spans="1:3" x14ac:dyDescent="0.25">
      <c r="A79" s="132" t="s">
        <v>212</v>
      </c>
      <c r="B79" s="144" t="s">
        <v>213</v>
      </c>
      <c r="C79" s="145"/>
    </row>
    <row r="80" spans="1:3" x14ac:dyDescent="0.25">
      <c r="A80" s="132" t="s">
        <v>214</v>
      </c>
      <c r="B80" s="144" t="s">
        <v>117</v>
      </c>
      <c r="C80" s="145" t="s">
        <v>245</v>
      </c>
    </row>
    <row r="81" spans="1:3" x14ac:dyDescent="0.25">
      <c r="A81" s="132" t="s">
        <v>216</v>
      </c>
      <c r="B81" s="144" t="s">
        <v>122</v>
      </c>
      <c r="C81" s="145" t="s">
        <v>245</v>
      </c>
    </row>
    <row r="82" spans="1:3" x14ac:dyDescent="0.25">
      <c r="A82" s="132" t="s">
        <v>218</v>
      </c>
      <c r="B82" s="144" t="s">
        <v>59</v>
      </c>
      <c r="C82" s="145" t="s">
        <v>245</v>
      </c>
    </row>
    <row r="83" spans="1:3" x14ac:dyDescent="0.25">
      <c r="A83" s="132" t="s">
        <v>221</v>
      </c>
      <c r="B83" s="144" t="s">
        <v>131</v>
      </c>
      <c r="C83" s="145" t="s">
        <v>245</v>
      </c>
    </row>
    <row r="84" spans="1:3" x14ac:dyDescent="0.25">
      <c r="A84" s="132" t="s">
        <v>219</v>
      </c>
      <c r="B84" s="144" t="s">
        <v>133</v>
      </c>
      <c r="C84" s="145" t="s">
        <v>245</v>
      </c>
    </row>
    <row r="85" spans="1:3" x14ac:dyDescent="0.25">
      <c r="A85" s="132" t="s">
        <v>223</v>
      </c>
      <c r="B85" s="144" t="s">
        <v>198</v>
      </c>
      <c r="C85" s="145" t="s">
        <v>245</v>
      </c>
    </row>
    <row r="86" spans="1:3" x14ac:dyDescent="0.25">
      <c r="A86" s="132" t="s">
        <v>225</v>
      </c>
      <c r="B86" s="144" t="s">
        <v>232</v>
      </c>
      <c r="C86" s="145" t="s">
        <v>246</v>
      </c>
    </row>
    <row r="87" spans="1:3" x14ac:dyDescent="0.25">
      <c r="A87" s="132" t="s">
        <v>227</v>
      </c>
      <c r="B87" s="144" t="s">
        <v>120</v>
      </c>
      <c r="C87" s="145" t="s">
        <v>247</v>
      </c>
    </row>
    <row r="88" spans="1:3" x14ac:dyDescent="0.25">
      <c r="A88" s="132" t="s">
        <v>229</v>
      </c>
      <c r="B88" s="144" t="s">
        <v>60</v>
      </c>
      <c r="C88" s="145" t="s">
        <v>247</v>
      </c>
    </row>
    <row r="89" spans="1:3" x14ac:dyDescent="0.25">
      <c r="A89" s="132" t="s">
        <v>231</v>
      </c>
      <c r="B89" s="144" t="s">
        <v>237</v>
      </c>
      <c r="C89" s="145" t="s">
        <v>248</v>
      </c>
    </row>
    <row r="90" spans="1:3" x14ac:dyDescent="0.25">
      <c r="A90" s="132" t="s">
        <v>233</v>
      </c>
      <c r="B90" s="144" t="s">
        <v>62</v>
      </c>
      <c r="C90" s="145"/>
    </row>
    <row r="91" spans="1:3" x14ac:dyDescent="0.25">
      <c r="A91" s="132" t="s">
        <v>234</v>
      </c>
      <c r="B91" s="144" t="s">
        <v>235</v>
      </c>
      <c r="C91" s="145"/>
    </row>
    <row r="92" spans="1:3" x14ac:dyDescent="0.25">
      <c r="A92" s="132" t="s">
        <v>236</v>
      </c>
      <c r="B92" s="144" t="s">
        <v>239</v>
      </c>
      <c r="C92" s="145" t="s">
        <v>248</v>
      </c>
    </row>
    <row r="93" spans="1:3" x14ac:dyDescent="0.25">
      <c r="A93" s="132" t="s">
        <v>238</v>
      </c>
      <c r="B93" s="144" t="s">
        <v>145</v>
      </c>
      <c r="C93" s="145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Feuil5</vt:lpstr>
    </vt:vector>
  </TitlesOfParts>
  <Company>CNAMTS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SNFOCOS@snfocos2.onmicrosoft.com</dc:creator>
  <cp:lastModifiedBy>Chafik EL AOUGRI</cp:lastModifiedBy>
  <cp:lastPrinted>2019-06-17T17:11:40Z</cp:lastPrinted>
  <dcterms:created xsi:type="dcterms:W3CDTF">2019-06-11T06:42:41Z</dcterms:created>
  <dcterms:modified xsi:type="dcterms:W3CDTF">2019-06-18T12:27:36Z</dcterms:modified>
</cp:coreProperties>
</file>